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3170" tabRatio="535" activeTab="0"/>
  </bookViews>
  <sheets>
    <sheet name="RefQuiz" sheetId="1" r:id="rId1"/>
  </sheets>
  <definedNames>
    <definedName name="Excel_BuiltIn_Database">#REF!</definedName>
    <definedName name="Excel_BuiltIn_Extract">#REF!</definedName>
  </definedNames>
  <calcPr fullCalcOnLoad="1"/>
</workbook>
</file>

<file path=xl/sharedStrings.xml><?xml version="1.0" encoding="utf-8"?>
<sst xmlns="http://schemas.openxmlformats.org/spreadsheetml/2006/main" count="116" uniqueCount="64">
  <si>
    <t>Shot #</t>
  </si>
  <si>
    <t>Ruling</t>
  </si>
  <si>
    <t>Foul</t>
  </si>
  <si>
    <t>Fair</t>
  </si>
  <si>
    <t>Shot Description</t>
  </si>
  <si>
    <t>Comments</t>
  </si>
  <si>
    <t>Pool Referee Quiz Score Sheet</t>
  </si>
  <si>
    <t>CB frozen to OB, stun</t>
  </si>
  <si>
    <t>very small gap between CB and OB, follow</t>
  </si>
  <si>
    <t>small gap between CB and OB, draw</t>
  </si>
  <si>
    <t>rail cut shot with CB close to OB and rail</t>
  </si>
  <si>
    <t>kiss back shot with OB frozen to rail</t>
  </si>
  <si>
    <t>CB and OB frozen to rail</t>
  </si>
  <si>
    <t>OB must be hit first</t>
  </si>
  <si>
    <t>rail first shot</t>
  </si>
  <si>
    <t>draw combination shot</t>
  </si>
  <si>
    <t>hand close to ball</t>
  </si>
  <si>
    <t>cue close to ball</t>
  </si>
  <si>
    <t>scoop shot</t>
  </si>
  <si>
    <t>attempted (baulked) shot</t>
  </si>
  <si>
    <t>9-ball push-out shot</t>
  </si>
  <si>
    <t>CB frozen to OB, draw</t>
  </si>
  <si>
    <t>very small gap between CB and OB, cue at angle</t>
  </si>
  <si>
    <t>OB must be hit first, left English</t>
  </si>
  <si>
    <t>CB frozen to OB, follow</t>
  </si>
  <si>
    <t>very small gap between CB and OB</t>
  </si>
  <si>
    <t>small gap between CB and OB, cue elevated a little, draw</t>
  </si>
  <si>
    <t>OB must be hit first, right English</t>
  </si>
  <si>
    <t>CB frozen to OB, cue at angle</t>
  </si>
  <si>
    <t>very small gap between CB and OB, cue at large angle</t>
  </si>
  <si>
    <t>rail cut shot with CB close to OB and rail, outside English</t>
  </si>
  <si>
    <t>kiss off rail with OB frozen to rail</t>
  </si>
  <si>
    <t>CB frozen to OB, cue at angle and elevated</t>
  </si>
  <si>
    <t>CB frozen to OB; cue straight, but elevated</t>
  </si>
  <si>
    <t>very small gap between CB and OB, draw</t>
  </si>
  <si>
    <t>small gap between CB and OB, cue elevated, draw</t>
  </si>
  <si>
    <t>OB frozen to pocket point</t>
  </si>
  <si>
    <t>CB frozen to OB</t>
  </si>
  <si>
    <t>OB frozen to rail must be hit first</t>
  </si>
  <si>
    <t>CB frozen to OB, cue elevated</t>
  </si>
  <si>
    <t>kiss back shot, small gaps between CB, OB and rail</t>
  </si>
  <si>
    <t>rail cut shot with CB close to OB and rail, cue elevated, follow</t>
  </si>
  <si>
    <t>kiss back shot, small gaps between CB, OB, and rail</t>
  </si>
  <si>
    <t>OB frozen to rail</t>
  </si>
  <si>
    <t>small gap between CB and OB, follow</t>
  </si>
  <si>
    <t>very small gap between CB and OB, cue at angle and elevated</t>
  </si>
  <si>
    <t>small gap between CB and OB, cue at angle, follow</t>
  </si>
  <si>
    <t>rail cut shot with CB close to OB and rail, inside English</t>
  </si>
  <si>
    <t>small gap between CB and OB, cue at angle and elevated, follow</t>
  </si>
  <si>
    <t>very small gap between CB and OB, cue elevated</t>
  </si>
  <si>
    <t>9-ball push-out shot, small gap between CB and OB</t>
  </si>
  <si>
    <t>small gap between CB and OB, cue at small angle</t>
  </si>
  <si>
    <t>CB declared frozen to OB</t>
  </si>
  <si>
    <t>OB frozen to rail, CB frozen to OB, right English</t>
  </si>
  <si>
    <t>kiss back shot, small gap between CB and OB</t>
  </si>
  <si>
    <t>&lt;= Type 'x' here if APA rules desired (CB fouls only)</t>
  </si>
  <si>
    <t>&lt;= Type 'x' here to show score and answers</t>
  </si>
  <si>
    <t>Type 'x' in Fair or Foul columns after judging shot in video</t>
  </si>
  <si>
    <t>Ctrl+Shift+R to reset sheet (enable macros)</t>
  </si>
  <si>
    <t xml:space="preserve">This worksheet is used to track and score answers to </t>
  </si>
  <si>
    <t>Dr. David Alciatore's and Bob Jewett's  Referee Quiz</t>
  </si>
  <si>
    <t xml:space="preserve"> found at:</t>
  </si>
  <si>
    <t xml:space="preserve"> http://billiards.colostate.edu/pool_rules_quiz.html</t>
  </si>
  <si>
    <t>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</si>
</sst>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  <numFmt numFmtId="167" formatCode="0.000000"/>
  </numFmts>
  <fonts count="20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MS Sans Serif"/>
      <family val="2"/>
    </font>
    <font>
      <b/>
      <sz val="10"/>
      <name val="MS Sans Serif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0" fillId="4" borderId="7" applyNumberFormat="0" applyAlignment="0" applyProtection="0"/>
    <xf numFmtId="0" fontId="15" fillId="16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1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18" borderId="18" xfId="0" applyFill="1" applyBorder="1" applyAlignment="1" applyProtection="1">
      <alignment horizontal="center"/>
      <protection locked="0"/>
    </xf>
    <xf numFmtId="0" fontId="0" fillId="18" borderId="19" xfId="0" applyFill="1" applyBorder="1" applyAlignment="1" applyProtection="1">
      <alignment horizontal="center"/>
      <protection locked="0"/>
    </xf>
    <xf numFmtId="0" fontId="0" fillId="18" borderId="20" xfId="0" applyFill="1" applyBorder="1" applyAlignment="1" applyProtection="1">
      <alignment horizontal="center"/>
      <protection locked="0"/>
    </xf>
    <xf numFmtId="0" fontId="0" fillId="18" borderId="21" xfId="0" applyFill="1" applyBorder="1" applyAlignment="1" applyProtection="1">
      <alignment horizontal="center"/>
      <protection locked="0"/>
    </xf>
    <xf numFmtId="0" fontId="0" fillId="18" borderId="22" xfId="0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D32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K108"/>
  <sheetViews>
    <sheetView tabSelected="1" zoomScalePageLayoutView="0" workbookViewId="0" topLeftCell="A1">
      <pane xSplit="11" ySplit="8" topLeftCell="L9" activePane="bottomRight" state="frozen"/>
      <selection pane="topLeft" activeCell="A1" sqref="A1"/>
      <selection pane="topRight" activeCell="L1" sqref="L1"/>
      <selection pane="bottomLeft" activeCell="A6" sqref="A6"/>
      <selection pane="bottomRight" activeCell="A1" sqref="A1"/>
    </sheetView>
  </sheetViews>
  <sheetFormatPr defaultColWidth="9.140625" defaultRowHeight="12.75"/>
  <cols>
    <col min="1" max="1" width="3.421875" style="0" customWidth="1"/>
    <col min="2" max="2" width="8.57421875" style="0" bestFit="1" customWidth="1"/>
    <col min="3" max="3" width="4.7109375" style="0" customWidth="1"/>
    <col min="4" max="4" width="4.7109375" style="0" bestFit="1" customWidth="1"/>
    <col min="5" max="5" width="57.28125" style="0" bestFit="1" customWidth="1"/>
    <col min="6" max="6" width="43.8515625" style="1" customWidth="1"/>
    <col min="7" max="7" width="2.00390625" style="0" customWidth="1"/>
    <col min="8" max="8" width="8.57421875" style="0" bestFit="1" customWidth="1"/>
    <col min="9" max="9" width="5.140625" style="0" bestFit="1" customWidth="1"/>
    <col min="10" max="10" width="5.57421875" style="0" bestFit="1" customWidth="1"/>
    <col min="11" max="11" width="182.00390625" style="0" bestFit="1" customWidth="1"/>
  </cols>
  <sheetData>
    <row r="1" ht="12.75">
      <c r="F1"/>
    </row>
    <row r="2" spans="2:11" ht="13.5" thickBot="1">
      <c r="B2" s="5" t="s">
        <v>6</v>
      </c>
      <c r="C2" s="6"/>
      <c r="D2" s="6"/>
      <c r="E2" s="6"/>
      <c r="F2" s="6"/>
      <c r="G2" s="6"/>
      <c r="H2" s="6"/>
      <c r="I2" s="6"/>
      <c r="J2" s="6"/>
      <c r="K2" s="6"/>
    </row>
    <row r="3" spans="2:11" ht="13.5" thickBot="1">
      <c r="B3" s="6"/>
      <c r="C3" s="17"/>
      <c r="D3" s="6" t="s">
        <v>55</v>
      </c>
      <c r="F3" s="12" t="s">
        <v>59</v>
      </c>
      <c r="G3" s="6"/>
      <c r="J3" s="6"/>
      <c r="K3" s="6"/>
    </row>
    <row r="4" spans="2:11" ht="13.5" thickBot="1">
      <c r="B4" s="6"/>
      <c r="C4" s="17" t="s">
        <v>63</v>
      </c>
      <c r="D4" s="6" t="s">
        <v>56</v>
      </c>
      <c r="F4" s="12" t="s">
        <v>60</v>
      </c>
      <c r="G4" s="8"/>
      <c r="H4" s="7" t="str">
        <f>IF(NOT($C$4=""),"Score:","")</f>
        <v>Score:</v>
      </c>
      <c r="I4" s="6"/>
      <c r="J4" s="6"/>
      <c r="K4" s="6"/>
    </row>
    <row r="5" spans="2:11" ht="12.75">
      <c r="B5" s="6"/>
      <c r="C5" s="6"/>
      <c r="D5" s="6"/>
      <c r="E5" s="6" t="s">
        <v>58</v>
      </c>
      <c r="F5" s="1" t="s">
        <v>61</v>
      </c>
      <c r="G5" s="8"/>
      <c r="H5" s="8">
        <f>IF(NOT($C$4=""),100-COUNTIF(H9:H108,"=WRONG"),"")</f>
        <v>0</v>
      </c>
      <c r="I5" s="6"/>
      <c r="J5" s="6"/>
      <c r="K5" s="6"/>
    </row>
    <row r="6" spans="2:11" ht="12.75">
      <c r="B6" s="5" t="s">
        <v>57</v>
      </c>
      <c r="D6" s="6"/>
      <c r="E6" s="6"/>
      <c r="F6" s="22" t="s">
        <v>62</v>
      </c>
      <c r="G6" s="6"/>
      <c r="H6" s="6"/>
      <c r="I6" s="23" t="str">
        <f>IF(NOT($C$4=""),"Official","")</f>
        <v>Official</v>
      </c>
      <c r="J6" s="23"/>
      <c r="K6" s="6"/>
    </row>
    <row r="7" spans="2:11" ht="12.75">
      <c r="B7" s="5"/>
      <c r="C7" s="23" t="s">
        <v>1</v>
      </c>
      <c r="D7" s="23"/>
      <c r="E7" s="5"/>
      <c r="F7" s="5"/>
      <c r="G7" s="5"/>
      <c r="H7" s="5"/>
      <c r="I7" s="23" t="str">
        <f>IF(NOT($C$4=""),"Ruling","")</f>
        <v>Ruling</v>
      </c>
      <c r="J7" s="23"/>
      <c r="K7" s="6"/>
    </row>
    <row r="8" spans="2:11" ht="13.5" thickBot="1">
      <c r="B8" s="9" t="s">
        <v>0</v>
      </c>
      <c r="C8" s="9" t="s">
        <v>3</v>
      </c>
      <c r="D8" s="9" t="s">
        <v>2</v>
      </c>
      <c r="E8" s="9" t="s">
        <v>4</v>
      </c>
      <c r="F8" s="9" t="s">
        <v>5</v>
      </c>
      <c r="G8" s="9"/>
      <c r="H8" s="9"/>
      <c r="I8" s="7" t="str">
        <f>IF(NOT($C$4=""),"Fair","")</f>
        <v>Fair</v>
      </c>
      <c r="J8" s="7" t="str">
        <f>IF(NOT($C$4=""),"Foul","")</f>
        <v>Foul</v>
      </c>
      <c r="K8" s="6"/>
    </row>
    <row r="9" spans="2:11" ht="12.75">
      <c r="B9" s="10">
        <v>1</v>
      </c>
      <c r="C9" s="18"/>
      <c r="D9" s="18"/>
      <c r="E9" s="11" t="s">
        <v>7</v>
      </c>
      <c r="F9" s="2"/>
      <c r="G9" s="12"/>
      <c r="H9" s="6" t="str">
        <f aca="true" t="shared" si="0" ref="H9:H40">IF($C$4&lt;&gt;"",IF(OR(AND(AND(C9&lt;&gt;"",I9&lt;&gt;""),AND(D9="",J9="")),AND(AND(C9="",I9=""),AND(D9&lt;&gt;"",J9&lt;&gt;""))),"","WRONG"),"")</f>
        <v>WRONG</v>
      </c>
      <c r="I9" s="9" t="str">
        <f>IF($C$4&lt;&gt;"","x","")</f>
        <v>x</v>
      </c>
      <c r="J9" s="8"/>
      <c r="K9" s="6" t="str">
        <f>IF(NOT($C$4=""),"legal stroke into frozen CB","")</f>
        <v>legal stroke into frozen CB</v>
      </c>
    </row>
    <row r="10" spans="2:11" ht="12.75">
      <c r="B10" s="13">
        <f>B9+1</f>
        <v>2</v>
      </c>
      <c r="C10" s="18"/>
      <c r="D10" s="18"/>
      <c r="E10" s="14" t="s">
        <v>8</v>
      </c>
      <c r="F10" s="3"/>
      <c r="G10" s="12"/>
      <c r="H10" s="6" t="str">
        <f t="shared" si="0"/>
        <v>WRONG</v>
      </c>
      <c r="I10" s="8"/>
      <c r="J10" s="9" t="str">
        <f>IF($C$4&lt;&gt;"","x","")</f>
        <v>x</v>
      </c>
      <c r="K10" s="6" t="str">
        <f>IF(NOT($C$4=""),"double hit","")</f>
        <v>double hit</v>
      </c>
    </row>
    <row r="11" spans="2:11" ht="12.75">
      <c r="B11" s="13">
        <f aca="true" t="shared" si="1" ref="B11:B74">B10+1</f>
        <v>3</v>
      </c>
      <c r="C11" s="18"/>
      <c r="D11" s="18"/>
      <c r="E11" s="14" t="s">
        <v>9</v>
      </c>
      <c r="F11" s="3"/>
      <c r="G11" s="12"/>
      <c r="H11" s="6" t="str">
        <f t="shared" si="0"/>
        <v>WRONG</v>
      </c>
      <c r="I11" s="9" t="str">
        <f>IF($C$4&lt;&gt;"","x","")</f>
        <v>x</v>
      </c>
      <c r="J11" s="8"/>
      <c r="K11" s="6" t="str">
        <f>IF(NOT($C$4=""),"immediate draw","")</f>
        <v>immediate draw</v>
      </c>
    </row>
    <row r="12" spans="2:11" ht="12.75">
      <c r="B12" s="13">
        <f t="shared" si="1"/>
        <v>4</v>
      </c>
      <c r="C12" s="18"/>
      <c r="D12" s="18"/>
      <c r="E12" s="14" t="s">
        <v>10</v>
      </c>
      <c r="F12" s="3"/>
      <c r="G12" s="12"/>
      <c r="H12" s="6" t="str">
        <f t="shared" si="0"/>
        <v>WRONG</v>
      </c>
      <c r="I12" s="9" t="str">
        <f>IF($C$4&lt;&gt;"","x","")</f>
        <v>x</v>
      </c>
      <c r="J12" s="8"/>
      <c r="K12" s="6" t="str">
        <f>IF(NOT($C$4=""),"CB in tangent line direction","")</f>
        <v>CB in tangent line direction</v>
      </c>
    </row>
    <row r="13" spans="2:11" ht="12.75">
      <c r="B13" s="13">
        <f t="shared" si="1"/>
        <v>5</v>
      </c>
      <c r="C13" s="18"/>
      <c r="D13" s="18"/>
      <c r="E13" s="14" t="s">
        <v>11</v>
      </c>
      <c r="F13" s="3"/>
      <c r="G13" s="12"/>
      <c r="H13" s="6" t="str">
        <f t="shared" si="0"/>
        <v>WRONG</v>
      </c>
      <c r="I13" s="8"/>
      <c r="J13" s="9" t="str">
        <f>IF($C$4&lt;&gt;"","x","")</f>
        <v>x</v>
      </c>
      <c r="K13" s="6" t="str">
        <f>IF(NOT($C$4=""),"no rail after contact","")</f>
        <v>no rail after contact</v>
      </c>
    </row>
    <row r="14" spans="2:11" ht="12.75">
      <c r="B14" s="13">
        <f t="shared" si="1"/>
        <v>6</v>
      </c>
      <c r="C14" s="18"/>
      <c r="D14" s="18"/>
      <c r="E14" s="14" t="s">
        <v>12</v>
      </c>
      <c r="F14" s="3"/>
      <c r="G14" s="12"/>
      <c r="H14" s="6" t="str">
        <f t="shared" si="0"/>
        <v>WRONG</v>
      </c>
      <c r="I14" s="9" t="str">
        <f>IF($C$4&lt;&gt;"","x","")</f>
        <v>x</v>
      </c>
      <c r="J14" s="8"/>
      <c r="K14" s="6" t="str">
        <f>IF(NOT($C$4=""),"TOUGH CALL - CB hit rail after contact (barely)","")</f>
        <v>TOUGH CALL - CB hit rail after contact (barely)</v>
      </c>
    </row>
    <row r="15" spans="2:11" ht="12.75">
      <c r="B15" s="13">
        <f t="shared" si="1"/>
        <v>7</v>
      </c>
      <c r="C15" s="18"/>
      <c r="D15" s="18"/>
      <c r="E15" s="14" t="s">
        <v>13</v>
      </c>
      <c r="F15" s="3"/>
      <c r="G15" s="12"/>
      <c r="H15" s="6" t="str">
        <f t="shared" si="0"/>
        <v>WRONG</v>
      </c>
      <c r="I15" s="9" t="str">
        <f>IF($C$4&lt;&gt;"","x","")</f>
        <v>x</v>
      </c>
      <c r="J15" s="8"/>
      <c r="K15" s="6" t="str">
        <f>IF(NOT($C$4=""),"CB clearly came off the 9-ball tangent line","")</f>
        <v>CB clearly came off the 9-ball tangent line</v>
      </c>
    </row>
    <row r="16" spans="2:11" ht="12.75">
      <c r="B16" s="13">
        <f t="shared" si="1"/>
        <v>8</v>
      </c>
      <c r="C16" s="18"/>
      <c r="D16" s="18"/>
      <c r="E16" s="14" t="s">
        <v>14</v>
      </c>
      <c r="F16" s="3"/>
      <c r="G16" s="12"/>
      <c r="H16" s="6" t="str">
        <f t="shared" si="0"/>
        <v>WRONG</v>
      </c>
      <c r="I16" s="8"/>
      <c r="J16" s="9" t="str">
        <f>IF($C$4&lt;&gt;"","x","")</f>
        <v>x</v>
      </c>
      <c r="K16" s="6" t="str">
        <f>IF(NOT($C$4=""),"no rail after contact","")</f>
        <v>no rail after contact</v>
      </c>
    </row>
    <row r="17" spans="2:11" ht="12.75">
      <c r="B17" s="13">
        <f t="shared" si="1"/>
        <v>9</v>
      </c>
      <c r="C17" s="18"/>
      <c r="D17" s="18"/>
      <c r="E17" s="14" t="s">
        <v>15</v>
      </c>
      <c r="F17" s="3"/>
      <c r="G17" s="12"/>
      <c r="H17" s="6" t="str">
        <f t="shared" si="0"/>
        <v>WRONG</v>
      </c>
      <c r="I17" s="8"/>
      <c r="J17" s="9" t="str">
        <f>IF($C$4&lt;&gt;"","x","")</f>
        <v>x</v>
      </c>
      <c r="K17" s="6" t="str">
        <f>IF(NOT($C$4=""),"wrong ball first","")</f>
        <v>wrong ball first</v>
      </c>
    </row>
    <row r="18" spans="2:11" ht="12.75">
      <c r="B18" s="13">
        <f t="shared" si="1"/>
        <v>10</v>
      </c>
      <c r="C18" s="18"/>
      <c r="D18" s="18"/>
      <c r="E18" s="14" t="s">
        <v>16</v>
      </c>
      <c r="F18" s="3"/>
      <c r="G18" s="12"/>
      <c r="H18" s="6" t="str">
        <f t="shared" si="0"/>
        <v>WRONG</v>
      </c>
      <c r="I18" s="9">
        <f>IF(AND($C$4&lt;&gt;"",$C$3&lt;&gt;""),"x","")</f>
      </c>
      <c r="J18" s="9" t="str">
        <f>IF(AND($C$4&lt;&gt;"",$C$3=""),"x","")</f>
        <v>x</v>
      </c>
      <c r="K18" s="6" t="str">
        <f>IF(NOT($C$4=""),"fair if 'CB fouls only'","")</f>
        <v>fair if 'CB fouls only'</v>
      </c>
    </row>
    <row r="19" spans="2:11" ht="12.75">
      <c r="B19" s="13">
        <f t="shared" si="1"/>
        <v>11</v>
      </c>
      <c r="C19" s="18"/>
      <c r="D19" s="18"/>
      <c r="E19" s="14" t="s">
        <v>17</v>
      </c>
      <c r="F19" s="3"/>
      <c r="G19" s="12"/>
      <c r="H19" s="6" t="str">
        <f t="shared" si="0"/>
        <v>WRONG</v>
      </c>
      <c r="I19" s="9">
        <f>IF(AND($C$4&lt;&gt;"",$C$3&lt;&gt;""),"x","")</f>
      </c>
      <c r="J19" s="9" t="str">
        <f>IF(AND($C$4&lt;&gt;"",$C$3=""),"x","")</f>
        <v>x</v>
      </c>
      <c r="K19" s="6" t="str">
        <f>IF(NOT($C$4=""),"fair if 'CB fouls only'","")</f>
        <v>fair if 'CB fouls only'</v>
      </c>
    </row>
    <row r="20" spans="2:11" ht="12.75">
      <c r="B20" s="13">
        <f t="shared" si="1"/>
        <v>12</v>
      </c>
      <c r="C20" s="18"/>
      <c r="D20" s="18"/>
      <c r="E20" s="14" t="s">
        <v>18</v>
      </c>
      <c r="F20" s="3"/>
      <c r="G20" s="12"/>
      <c r="H20" s="6" t="str">
        <f t="shared" si="0"/>
        <v>WRONG</v>
      </c>
      <c r="I20" s="8"/>
      <c r="J20" s="9" t="str">
        <f>IF($C$4&lt;&gt;"","x","")</f>
        <v>x</v>
      </c>
      <c r="K20" s="6" t="str">
        <f>IF(NOT($C$4=""),"illegal jump (scoop), possible unsportsmanlike conduct","")</f>
        <v>illegal jump (scoop), possible unsportsmanlike conduct</v>
      </c>
    </row>
    <row r="21" spans="2:11" ht="12.75">
      <c r="B21" s="13">
        <f t="shared" si="1"/>
        <v>13</v>
      </c>
      <c r="C21" s="18"/>
      <c r="D21" s="18"/>
      <c r="E21" s="14" t="s">
        <v>19</v>
      </c>
      <c r="F21" s="3"/>
      <c r="G21" s="12"/>
      <c r="H21" s="6" t="str">
        <f t="shared" si="0"/>
        <v>WRONG</v>
      </c>
      <c r="I21" s="9" t="str">
        <f>IF($C$4&lt;&gt;"","x","")</f>
        <v>x</v>
      </c>
      <c r="J21" s="8"/>
      <c r="K21" s="6" t="str">
        <f>IF(NOT($C$4=""),"not a shot","")</f>
        <v>not a shot</v>
      </c>
    </row>
    <row r="22" spans="2:11" ht="12.75">
      <c r="B22" s="13">
        <f t="shared" si="1"/>
        <v>14</v>
      </c>
      <c r="C22" s="18"/>
      <c r="D22" s="18"/>
      <c r="E22" s="14" t="s">
        <v>20</v>
      </c>
      <c r="F22" s="3"/>
      <c r="G22" s="12"/>
      <c r="H22" s="6" t="str">
        <f t="shared" si="0"/>
        <v>WRONG</v>
      </c>
      <c r="I22" s="9" t="str">
        <f>IF($C$4&lt;&gt;"","x","")</f>
        <v>x</v>
      </c>
      <c r="J22" s="8"/>
      <c r="K22" s="6" t="str">
        <f>IF(NOT($C$4=""),"spot the 9-ball","")</f>
        <v>spot the 9-ball</v>
      </c>
    </row>
    <row r="23" spans="2:11" ht="12.75">
      <c r="B23" s="13">
        <f t="shared" si="1"/>
        <v>15</v>
      </c>
      <c r="C23" s="18"/>
      <c r="D23" s="18"/>
      <c r="E23" s="14" t="s">
        <v>21</v>
      </c>
      <c r="F23" s="3"/>
      <c r="G23" s="12"/>
      <c r="H23" s="6" t="str">
        <f t="shared" si="0"/>
        <v>WRONG</v>
      </c>
      <c r="I23" s="9" t="str">
        <f>IF($C$4&lt;&gt;"","x","")</f>
        <v>x</v>
      </c>
      <c r="J23" s="8"/>
      <c r="K23" s="6" t="str">
        <f>IF(NOT($C$4=""),"legal stroke into frozen CB","")</f>
        <v>legal stroke into frozen CB</v>
      </c>
    </row>
    <row r="24" spans="2:11" ht="12.75">
      <c r="B24" s="13">
        <f t="shared" si="1"/>
        <v>16</v>
      </c>
      <c r="C24" s="18"/>
      <c r="D24" s="18"/>
      <c r="E24" s="14" t="s">
        <v>22</v>
      </c>
      <c r="F24" s="3"/>
      <c r="G24" s="12"/>
      <c r="H24" s="6" t="str">
        <f t="shared" si="0"/>
        <v>WRONG</v>
      </c>
      <c r="I24" s="9" t="str">
        <f>IF($C$4&lt;&gt;"","x","")</f>
        <v>x</v>
      </c>
      <c r="J24" s="8"/>
      <c r="K24" s="6" t="str">
        <f>IF(NOT($C$4=""),"CB in tangent line direction","")</f>
        <v>CB in tangent line direction</v>
      </c>
    </row>
    <row r="25" spans="2:11" ht="12.75">
      <c r="B25" s="13">
        <f t="shared" si="1"/>
        <v>17</v>
      </c>
      <c r="C25" s="18"/>
      <c r="D25" s="18"/>
      <c r="E25" s="14" t="s">
        <v>9</v>
      </c>
      <c r="F25" s="3"/>
      <c r="G25" s="12"/>
      <c r="H25" s="6" t="str">
        <f t="shared" si="0"/>
        <v>WRONG</v>
      </c>
      <c r="I25" s="8"/>
      <c r="J25" s="9" t="str">
        <f>IF($C$4&lt;&gt;"","x","")</f>
        <v>x</v>
      </c>
      <c r="K25" s="6" t="str">
        <f>IF(NOT($C$4=""),"double hit (CB goes forward at first)","")</f>
        <v>double hit (CB goes forward at first)</v>
      </c>
    </row>
    <row r="26" spans="2:11" ht="12.75">
      <c r="B26" s="13">
        <f t="shared" si="1"/>
        <v>18</v>
      </c>
      <c r="C26" s="18"/>
      <c r="D26" s="18"/>
      <c r="E26" s="14" t="s">
        <v>10</v>
      </c>
      <c r="F26" s="3"/>
      <c r="G26" s="12"/>
      <c r="H26" s="6" t="str">
        <f t="shared" si="0"/>
        <v>WRONG</v>
      </c>
      <c r="I26" s="9" t="str">
        <f>IF($C$4&lt;&gt;"","x","")</f>
        <v>x</v>
      </c>
      <c r="J26" s="8"/>
      <c r="K26" s="6" t="str">
        <f>IF(NOT($C$4=""),"CB motion clearly not altered","")</f>
        <v>CB motion clearly not altered</v>
      </c>
    </row>
    <row r="27" spans="2:11" ht="12.75">
      <c r="B27" s="13">
        <f t="shared" si="1"/>
        <v>19</v>
      </c>
      <c r="C27" s="18"/>
      <c r="D27" s="18"/>
      <c r="E27" s="14" t="s">
        <v>11</v>
      </c>
      <c r="F27" s="3"/>
      <c r="G27" s="12"/>
      <c r="H27" s="6" t="str">
        <f t="shared" si="0"/>
        <v>WRONG</v>
      </c>
      <c r="I27" s="9" t="str">
        <f>IF($C$4&lt;&gt;"","x","")</f>
        <v>x</v>
      </c>
      <c r="J27" s="8"/>
      <c r="K27" s="6" t="str">
        <f>IF(NOT($C$4=""),"CB hit rail after contact","")</f>
        <v>CB hit rail after contact</v>
      </c>
    </row>
    <row r="28" spans="2:11" ht="12.75">
      <c r="B28" s="13">
        <f t="shared" si="1"/>
        <v>20</v>
      </c>
      <c r="C28" s="18"/>
      <c r="D28" s="18"/>
      <c r="E28" s="14" t="s">
        <v>12</v>
      </c>
      <c r="F28" s="3"/>
      <c r="G28" s="12"/>
      <c r="H28" s="6" t="str">
        <f t="shared" si="0"/>
        <v>WRONG</v>
      </c>
      <c r="I28" s="9" t="str">
        <f>IF($C$4&lt;&gt;"","x","")</f>
        <v>x</v>
      </c>
      <c r="J28" s="8"/>
      <c r="K28" s="6" t="str">
        <f>IF(NOT($C$4=""),"CB hit rail after contact","")</f>
        <v>CB hit rail after contact</v>
      </c>
    </row>
    <row r="29" spans="2:11" ht="12.75">
      <c r="B29" s="13">
        <f t="shared" si="1"/>
        <v>21</v>
      </c>
      <c r="C29" s="18"/>
      <c r="D29" s="18"/>
      <c r="E29" s="14" t="s">
        <v>23</v>
      </c>
      <c r="F29" s="3"/>
      <c r="G29" s="12"/>
      <c r="H29" s="6" t="str">
        <f t="shared" si="0"/>
        <v>WRONG</v>
      </c>
      <c r="I29" s="8"/>
      <c r="J29" s="9" t="str">
        <f>IF($C$4&lt;&gt;"","x","")</f>
        <v>x</v>
      </c>
      <c r="K29" s="6" t="str">
        <f>IF(NOT($C$4=""),"wrong ball first (CB clearly came off the 8-ball tangent line)","")</f>
        <v>wrong ball first (CB clearly came off the 8-ball tangent line)</v>
      </c>
    </row>
    <row r="30" spans="2:11" ht="12.75">
      <c r="B30" s="13">
        <f t="shared" si="1"/>
        <v>22</v>
      </c>
      <c r="C30" s="18"/>
      <c r="D30" s="18"/>
      <c r="E30" s="14" t="s">
        <v>24</v>
      </c>
      <c r="F30" s="3"/>
      <c r="G30" s="12"/>
      <c r="H30" s="6" t="str">
        <f t="shared" si="0"/>
        <v>WRONG</v>
      </c>
      <c r="I30" s="9" t="str">
        <f>IF($C$4&lt;&gt;"","x","")</f>
        <v>x</v>
      </c>
      <c r="J30" s="8"/>
      <c r="K30" s="6" t="str">
        <f>IF(NOT($C$4=""),"legal stroke into frozen CB","")</f>
        <v>legal stroke into frozen CB</v>
      </c>
    </row>
    <row r="31" spans="2:11" ht="12.75">
      <c r="B31" s="13">
        <f t="shared" si="1"/>
        <v>23</v>
      </c>
      <c r="C31" s="18"/>
      <c r="D31" s="18"/>
      <c r="E31" s="14" t="s">
        <v>25</v>
      </c>
      <c r="F31" s="3"/>
      <c r="G31" s="12"/>
      <c r="H31" s="6" t="str">
        <f t="shared" si="0"/>
        <v>WRONG</v>
      </c>
      <c r="I31" s="8"/>
      <c r="J31" s="9" t="str">
        <f>IF($C$4&lt;&gt;"","x","")</f>
        <v>x</v>
      </c>
      <c r="K31" s="6" t="str">
        <f>IF(NOT($C$4=""),"double hit with push stroke","")</f>
        <v>double hit with push stroke</v>
      </c>
    </row>
    <row r="32" spans="2:11" ht="12.75">
      <c r="B32" s="13">
        <f t="shared" si="1"/>
        <v>24</v>
      </c>
      <c r="C32" s="18"/>
      <c r="D32" s="18"/>
      <c r="E32" s="14" t="s">
        <v>26</v>
      </c>
      <c r="F32" s="3"/>
      <c r="G32" s="12"/>
      <c r="H32" s="6" t="str">
        <f t="shared" si="0"/>
        <v>WRONG</v>
      </c>
      <c r="I32" s="9" t="str">
        <f>IF($C$4&lt;&gt;"","x","")</f>
        <v>x</v>
      </c>
      <c r="J32" s="8"/>
      <c r="K32" s="6" t="str">
        <f>IF(NOT($C$4=""),"even though CB jumps forward (due to high hit on the OB)","")</f>
        <v>even though CB jumps forward (due to high hit on the OB)</v>
      </c>
    </row>
    <row r="33" spans="2:11" ht="12.75">
      <c r="B33" s="13">
        <f t="shared" si="1"/>
        <v>25</v>
      </c>
      <c r="C33" s="18"/>
      <c r="D33" s="18"/>
      <c r="E33" s="14" t="s">
        <v>10</v>
      </c>
      <c r="F33" s="3"/>
      <c r="G33" s="12"/>
      <c r="H33" s="6" t="str">
        <f t="shared" si="0"/>
        <v>WRONG</v>
      </c>
      <c r="I33" s="8"/>
      <c r="J33" s="9" t="str">
        <f>IF($C$4&lt;&gt;"","x","")</f>
        <v>x</v>
      </c>
      <c r="K33" s="6" t="str">
        <f>IF(NOT($C$4=""),"double hit (clear from CB direction)","")</f>
        <v>double hit (clear from CB direction)</v>
      </c>
    </row>
    <row r="34" spans="2:11" ht="12.75">
      <c r="B34" s="13">
        <f t="shared" si="1"/>
        <v>26</v>
      </c>
      <c r="C34" s="18"/>
      <c r="D34" s="18"/>
      <c r="E34" s="14" t="s">
        <v>11</v>
      </c>
      <c r="F34" s="3"/>
      <c r="G34" s="12"/>
      <c r="H34" s="6" t="str">
        <f t="shared" si="0"/>
        <v>WRONG</v>
      </c>
      <c r="I34" s="8"/>
      <c r="J34" s="9" t="str">
        <f>IF($C$4&lt;&gt;"","x","")</f>
        <v>x</v>
      </c>
      <c r="K34" s="6" t="str">
        <f>IF(NOT($C$4=""),"no rail after contact","")</f>
        <v>no rail after contact</v>
      </c>
    </row>
    <row r="35" spans="2:11" ht="12.75">
      <c r="B35" s="13">
        <f t="shared" si="1"/>
        <v>27</v>
      </c>
      <c r="C35" s="18"/>
      <c r="D35" s="18"/>
      <c r="E35" s="14" t="s">
        <v>12</v>
      </c>
      <c r="F35" s="3"/>
      <c r="G35" s="12"/>
      <c r="H35" s="6" t="str">
        <f t="shared" si="0"/>
        <v>WRONG</v>
      </c>
      <c r="I35" s="9" t="str">
        <f>IF($C$4&lt;&gt;"","x","")</f>
        <v>x</v>
      </c>
      <c r="J35" s="8"/>
      <c r="K35" s="6" t="str">
        <f>IF(NOT($C$4=""),"OB hit rail after contact","")</f>
        <v>OB hit rail after contact</v>
      </c>
    </row>
    <row r="36" spans="2:11" ht="12.75">
      <c r="B36" s="13">
        <f t="shared" si="1"/>
        <v>28</v>
      </c>
      <c r="C36" s="18"/>
      <c r="D36" s="18"/>
      <c r="E36" s="14" t="s">
        <v>27</v>
      </c>
      <c r="F36" s="3"/>
      <c r="G36" s="12"/>
      <c r="H36" s="6" t="str">
        <f t="shared" si="0"/>
        <v>WRONG</v>
      </c>
      <c r="I36" s="8"/>
      <c r="J36" s="9" t="str">
        <f>IF($C$4&lt;&gt;"","x","")</f>
        <v>x</v>
      </c>
      <c r="K36" s="6" t="str">
        <f>IF(NOT($C$4=""),"wrong ball first (CB clearly came off the 8-ball tangent line)","")</f>
        <v>wrong ball first (CB clearly came off the 8-ball tangent line)</v>
      </c>
    </row>
    <row r="37" spans="2:11" ht="13.5" thickBot="1">
      <c r="B37" s="13">
        <f t="shared" si="1"/>
        <v>29</v>
      </c>
      <c r="C37" s="19"/>
      <c r="D37" s="19"/>
      <c r="E37" s="14" t="s">
        <v>28</v>
      </c>
      <c r="F37" s="3"/>
      <c r="G37" s="12"/>
      <c r="H37" s="6" t="str">
        <f t="shared" si="0"/>
        <v>WRONG</v>
      </c>
      <c r="I37" s="9" t="str">
        <f>IF($C$4&lt;&gt;"","x","")</f>
        <v>x</v>
      </c>
      <c r="J37" s="9"/>
      <c r="K37" s="6" t="str">
        <f>IF(NOT($C$4=""),"TOUGH CALL - legal stroke into frozen CB.  [If you heard the CB scratch outside of the video frame, FOUL is acceptable.]","")</f>
        <v>TOUGH CALL - legal stroke into frozen CB.  [If you heard the CB scratch outside of the video frame, FOUL is acceptable.]</v>
      </c>
    </row>
    <row r="38" spans="2:11" ht="12.75">
      <c r="B38" s="10">
        <f>B37+1</f>
        <v>30</v>
      </c>
      <c r="C38" s="20"/>
      <c r="D38" s="20"/>
      <c r="E38" s="11" t="s">
        <v>29</v>
      </c>
      <c r="F38" s="2"/>
      <c r="G38" s="12"/>
      <c r="H38" s="6" t="str">
        <f t="shared" si="0"/>
        <v>WRONG</v>
      </c>
      <c r="I38" s="9" t="str">
        <f>IF($C$4&lt;&gt;"","x","")</f>
        <v>x</v>
      </c>
      <c r="J38" s="8"/>
      <c r="K38" s="6" t="str">
        <f>IF(NOT($C$4=""),"CB in tangent line direction","")</f>
        <v>CB in tangent line direction</v>
      </c>
    </row>
    <row r="39" spans="2:11" ht="12.75">
      <c r="B39" s="13">
        <f t="shared" si="1"/>
        <v>31</v>
      </c>
      <c r="C39" s="18"/>
      <c r="D39" s="18"/>
      <c r="E39" s="14" t="s">
        <v>26</v>
      </c>
      <c r="F39" s="3"/>
      <c r="G39" s="12"/>
      <c r="H39" s="6" t="str">
        <f t="shared" si="0"/>
        <v>WRONG</v>
      </c>
      <c r="I39" s="9" t="str">
        <f>IF($C$4&lt;&gt;"","x","")</f>
        <v>x</v>
      </c>
      <c r="J39" s="8"/>
      <c r="K39" s="6" t="str">
        <f>IF(NOT($C$4=""),"CB driven forward slightly due to above-equator hit on the OB","")</f>
        <v>CB driven forward slightly due to above-equator hit on the OB</v>
      </c>
    </row>
    <row r="40" spans="2:11" ht="12.75">
      <c r="B40" s="13">
        <f t="shared" si="1"/>
        <v>32</v>
      </c>
      <c r="C40" s="18"/>
      <c r="D40" s="18"/>
      <c r="E40" s="14" t="s">
        <v>30</v>
      </c>
      <c r="F40" s="3"/>
      <c r="G40" s="12"/>
      <c r="H40" s="6" t="str">
        <f t="shared" si="0"/>
        <v>WRONG</v>
      </c>
      <c r="I40" s="9" t="str">
        <f>IF($C$4&lt;&gt;"","x","")</f>
        <v>x</v>
      </c>
      <c r="J40" s="8"/>
      <c r="K40" s="6" t="str">
        <f>IF(NOT($C$4=""),"CB motion clearly not altered","")</f>
        <v>CB motion clearly not altered</v>
      </c>
    </row>
    <row r="41" spans="2:11" ht="12.75">
      <c r="B41" s="13">
        <f t="shared" si="1"/>
        <v>33</v>
      </c>
      <c r="C41" s="18"/>
      <c r="D41" s="18"/>
      <c r="E41" s="14" t="s">
        <v>31</v>
      </c>
      <c r="F41" s="3"/>
      <c r="G41" s="12"/>
      <c r="H41" s="6" t="str">
        <f aca="true" t="shared" si="2" ref="H41:H72">IF($C$4&lt;&gt;"",IF(OR(AND(AND(C41&lt;&gt;"",I41&lt;&gt;""),AND(D41="",J41="")),AND(AND(C41="",I41=""),AND(D41&lt;&gt;"",J41&lt;&gt;""))),"","WRONG"),"")</f>
        <v>WRONG</v>
      </c>
      <c r="I41" s="9" t="str">
        <f>IF($C$4&lt;&gt;"","x","")</f>
        <v>x</v>
      </c>
      <c r="J41" s="8"/>
      <c r="K41" s="6" t="str">
        <f>IF(NOT($C$4=""),"CB hit rail after contact","")</f>
        <v>CB hit rail after contact</v>
      </c>
    </row>
    <row r="42" spans="2:11" ht="12.75">
      <c r="B42" s="13">
        <f t="shared" si="1"/>
        <v>34</v>
      </c>
      <c r="C42" s="18"/>
      <c r="D42" s="18"/>
      <c r="E42" s="14" t="s">
        <v>12</v>
      </c>
      <c r="F42" s="3"/>
      <c r="G42" s="12"/>
      <c r="H42" s="6" t="str">
        <f t="shared" si="2"/>
        <v>WRONG</v>
      </c>
      <c r="I42" s="8"/>
      <c r="J42" s="9" t="str">
        <f>IF($C$4&lt;&gt;"","x","")</f>
        <v>x</v>
      </c>
      <c r="K42" s="6" t="str">
        <f>IF(NOT($C$4=""),"no rail after contact","")</f>
        <v>no rail after contact</v>
      </c>
    </row>
    <row r="43" spans="2:11" ht="12.75">
      <c r="B43" s="13">
        <f t="shared" si="1"/>
        <v>35</v>
      </c>
      <c r="C43" s="18"/>
      <c r="D43" s="18"/>
      <c r="E43" s="14" t="s">
        <v>32</v>
      </c>
      <c r="F43" s="3"/>
      <c r="G43" s="12"/>
      <c r="H43" s="6" t="str">
        <f t="shared" si="2"/>
        <v>WRONG</v>
      </c>
      <c r="I43" s="9" t="str">
        <f>IF($C$4&lt;&gt;"","x","")</f>
        <v>x</v>
      </c>
      <c r="J43" s="8"/>
      <c r="K43" s="6" t="str">
        <f>IF(NOT($C$4=""),"legal stroke into frozen CB","")</f>
        <v>legal stroke into frozen CB</v>
      </c>
    </row>
    <row r="44" spans="2:11" ht="12.75">
      <c r="B44" s="13">
        <f t="shared" si="1"/>
        <v>36</v>
      </c>
      <c r="C44" s="18"/>
      <c r="D44" s="18"/>
      <c r="E44" s="14" t="s">
        <v>29</v>
      </c>
      <c r="F44" s="3"/>
      <c r="G44" s="12"/>
      <c r="H44" s="6" t="str">
        <f t="shared" si="2"/>
        <v>WRONG</v>
      </c>
      <c r="I44" s="9" t="str">
        <f>IF($C$4&lt;&gt;"","x","")</f>
        <v>x</v>
      </c>
      <c r="J44" s="8"/>
      <c r="K44" s="6" t="str">
        <f>IF(NOT($C$4=""),"CB in tangent line direction, CB hit rail","")</f>
        <v>CB in tangent line direction, CB hit rail</v>
      </c>
    </row>
    <row r="45" spans="2:11" ht="12.75">
      <c r="B45" s="13">
        <f t="shared" si="1"/>
        <v>37</v>
      </c>
      <c r="C45" s="18"/>
      <c r="D45" s="18"/>
      <c r="E45" s="14" t="s">
        <v>26</v>
      </c>
      <c r="F45" s="3"/>
      <c r="G45" s="12"/>
      <c r="H45" s="6" t="str">
        <f t="shared" si="2"/>
        <v>WRONG</v>
      </c>
      <c r="I45" s="8"/>
      <c r="J45" s="9" t="str">
        <f>IF($C$4&lt;&gt;"","x","")</f>
        <v>x</v>
      </c>
      <c r="K45" s="6" t="str">
        <f>IF(NOT($C$4=""),"double hit (CB driven forward too much)","")</f>
        <v>double hit (CB driven forward too much)</v>
      </c>
    </row>
    <row r="46" spans="2:11" ht="12.75">
      <c r="B46" s="13">
        <f t="shared" si="1"/>
        <v>38</v>
      </c>
      <c r="C46" s="18"/>
      <c r="D46" s="18"/>
      <c r="E46" s="14" t="s">
        <v>33</v>
      </c>
      <c r="F46" s="3"/>
      <c r="G46" s="12"/>
      <c r="H46" s="6" t="str">
        <f t="shared" si="2"/>
        <v>WRONG</v>
      </c>
      <c r="I46" s="9" t="str">
        <f>IF($C$4&lt;&gt;"","x","")</f>
        <v>x</v>
      </c>
      <c r="J46" s="8"/>
      <c r="K46" s="6" t="str">
        <f>IF(NOT($C$4=""),"legal stroke into frozen CB","")</f>
        <v>legal stroke into frozen CB</v>
      </c>
    </row>
    <row r="47" spans="2:11" ht="12.75">
      <c r="B47" s="13">
        <f t="shared" si="1"/>
        <v>39</v>
      </c>
      <c r="C47" s="18"/>
      <c r="D47" s="18"/>
      <c r="E47" s="14" t="s">
        <v>34</v>
      </c>
      <c r="F47" s="3"/>
      <c r="G47" s="12"/>
      <c r="H47" s="6" t="str">
        <f t="shared" si="2"/>
        <v>WRONG</v>
      </c>
      <c r="I47" s="8"/>
      <c r="J47" s="9" t="str">
        <f>IF($C$4&lt;&gt;"","x","")</f>
        <v>x</v>
      </c>
      <c r="K47" s="6" t="str">
        <f>IF(NOT($C$4=""),"double hit (CB driven forward)","")</f>
        <v>double hit (CB driven forward)</v>
      </c>
    </row>
    <row r="48" spans="2:11" ht="12.75">
      <c r="B48" s="13">
        <f t="shared" si="1"/>
        <v>40</v>
      </c>
      <c r="C48" s="18"/>
      <c r="D48" s="18"/>
      <c r="E48" s="14" t="s">
        <v>35</v>
      </c>
      <c r="F48" s="3"/>
      <c r="G48" s="12"/>
      <c r="H48" s="6" t="str">
        <f t="shared" si="2"/>
        <v>WRONG</v>
      </c>
      <c r="I48" s="8"/>
      <c r="J48" s="9" t="str">
        <f>IF($C$4&lt;&gt;"","x","")</f>
        <v>x</v>
      </c>
      <c r="K48" s="6" t="str">
        <f>IF(NOT($C$4=""),"double hit (CB driven forward)","")</f>
        <v>double hit (CB driven forward)</v>
      </c>
    </row>
    <row r="49" spans="2:11" ht="12.75">
      <c r="B49" s="13">
        <f t="shared" si="1"/>
        <v>41</v>
      </c>
      <c r="C49" s="18"/>
      <c r="D49" s="18"/>
      <c r="E49" s="14" t="s">
        <v>30</v>
      </c>
      <c r="F49" s="3"/>
      <c r="G49" s="12"/>
      <c r="H49" s="6" t="str">
        <f t="shared" si="2"/>
        <v>WRONG</v>
      </c>
      <c r="I49" s="9" t="str">
        <f>IF($C$4&lt;&gt;"","x","")</f>
        <v>x</v>
      </c>
      <c r="J49" s="8"/>
      <c r="K49" s="6" t="str">
        <f>IF(NOT($C$4=""),"CB motion clearly not altered","")</f>
        <v>CB motion clearly not altered</v>
      </c>
    </row>
    <row r="50" spans="2:11" ht="12.75">
      <c r="B50" s="13">
        <f t="shared" si="1"/>
        <v>42</v>
      </c>
      <c r="C50" s="18"/>
      <c r="D50" s="18"/>
      <c r="E50" s="14" t="s">
        <v>35</v>
      </c>
      <c r="F50" s="3"/>
      <c r="G50" s="12"/>
      <c r="H50" s="6" t="str">
        <f t="shared" si="2"/>
        <v>WRONG</v>
      </c>
      <c r="I50" s="9" t="str">
        <f>IF($C$4&lt;&gt;"","x","")</f>
        <v>x</v>
      </c>
      <c r="J50" s="8"/>
      <c r="K50" s="6" t="str">
        <f>IF(NOT($C$4=""),"CB motion clearly not altered, and CB hit rail","")</f>
        <v>CB motion clearly not altered, and CB hit rail</v>
      </c>
    </row>
    <row r="51" spans="2:11" ht="12.75">
      <c r="B51" s="13">
        <f t="shared" si="1"/>
        <v>43</v>
      </c>
      <c r="C51" s="18"/>
      <c r="D51" s="18"/>
      <c r="E51" s="14" t="s">
        <v>36</v>
      </c>
      <c r="F51" s="3"/>
      <c r="G51" s="12"/>
      <c r="H51" s="6" t="str">
        <f t="shared" si="2"/>
        <v>WRONG</v>
      </c>
      <c r="I51" s="9" t="str">
        <f>IF($C$4&lt;&gt;"","x","")</f>
        <v>x</v>
      </c>
      <c r="J51" s="8"/>
      <c r="K51" s="6" t="str">
        <f>IF(NOT($C$4=""),"OB hit rail after contact","")</f>
        <v>OB hit rail after contact</v>
      </c>
    </row>
    <row r="52" spans="2:11" ht="12.75">
      <c r="B52" s="13">
        <f t="shared" si="1"/>
        <v>44</v>
      </c>
      <c r="C52" s="18"/>
      <c r="D52" s="18"/>
      <c r="E52" s="14" t="s">
        <v>37</v>
      </c>
      <c r="F52" s="3"/>
      <c r="G52" s="12"/>
      <c r="H52" s="6" t="str">
        <f t="shared" si="2"/>
        <v>WRONG</v>
      </c>
      <c r="I52" s="8"/>
      <c r="J52" s="9" t="str">
        <f>IF($C$4&lt;&gt;"","x","")</f>
        <v>x</v>
      </c>
      <c r="K52" s="6" t="str">
        <f>IF(NOT($C$4=""),"TOUGH CALL - push or double hit","")</f>
        <v>TOUGH CALL - push or double hit</v>
      </c>
    </row>
    <row r="53" spans="2:11" ht="12.75">
      <c r="B53" s="13">
        <f t="shared" si="1"/>
        <v>45</v>
      </c>
      <c r="C53" s="18"/>
      <c r="D53" s="18"/>
      <c r="E53" s="14" t="s">
        <v>35</v>
      </c>
      <c r="F53" s="3"/>
      <c r="G53" s="12"/>
      <c r="H53" s="6" t="str">
        <f t="shared" si="2"/>
        <v>WRONG</v>
      </c>
      <c r="I53" s="8"/>
      <c r="J53" s="9" t="str">
        <f>IF($C$4&lt;&gt;"","x","")</f>
        <v>x</v>
      </c>
      <c r="K53" s="6" t="str">
        <f>IF(NOT($C$4=""),"double hit (CB driven forward)","")</f>
        <v>double hit (CB driven forward)</v>
      </c>
    </row>
    <row r="54" spans="2:11" ht="12.75">
      <c r="B54" s="13">
        <f t="shared" si="1"/>
        <v>46</v>
      </c>
      <c r="C54" s="18"/>
      <c r="D54" s="18"/>
      <c r="E54" s="14" t="s">
        <v>13</v>
      </c>
      <c r="F54" s="3"/>
      <c r="G54" s="12"/>
      <c r="H54" s="6" t="str">
        <f t="shared" si="2"/>
        <v>WRONG</v>
      </c>
      <c r="I54" s="8"/>
      <c r="J54" s="9" t="str">
        <f>IF($C$4&lt;&gt;"","x","")</f>
        <v>x</v>
      </c>
      <c r="K54" s="6" t="str">
        <f>IF(NOT($C$4=""),"TOUGH CALL - wrong ball first (CB came off 8-ball tangent line)","")</f>
        <v>TOUGH CALL - wrong ball first (CB came off 8-ball tangent line)</v>
      </c>
    </row>
    <row r="55" spans="2:11" ht="12.75">
      <c r="B55" s="13">
        <f t="shared" si="1"/>
        <v>47</v>
      </c>
      <c r="C55" s="18"/>
      <c r="D55" s="18"/>
      <c r="E55" s="14" t="s">
        <v>35</v>
      </c>
      <c r="F55" s="3"/>
      <c r="G55" s="12"/>
      <c r="H55" s="6" t="str">
        <f t="shared" si="2"/>
        <v>WRONG</v>
      </c>
      <c r="I55" s="9" t="str">
        <f>IF($C$4&lt;&gt;"","x","")</f>
        <v>x</v>
      </c>
      <c r="J55" s="8"/>
      <c r="K55" s="6" t="str">
        <f>IF(NOT($C$4=""),"CB motion likely not altered","")</f>
        <v>CB motion likely not altered</v>
      </c>
    </row>
    <row r="56" spans="2:11" ht="12.75">
      <c r="B56" s="13">
        <f t="shared" si="1"/>
        <v>48</v>
      </c>
      <c r="C56" s="18"/>
      <c r="D56" s="18"/>
      <c r="E56" s="14" t="s">
        <v>38</v>
      </c>
      <c r="F56" s="3"/>
      <c r="G56" s="12"/>
      <c r="H56" s="6" t="str">
        <f t="shared" si="2"/>
        <v>WRONG</v>
      </c>
      <c r="I56" s="8"/>
      <c r="J56" s="9" t="str">
        <f>IF($C$4&lt;&gt;"","x","")</f>
        <v>x</v>
      </c>
      <c r="K56" s="6" t="str">
        <f>IF(NOT($C$4=""),"wrong ball first (clear from CB direction)","")</f>
        <v>wrong ball first (clear from CB direction)</v>
      </c>
    </row>
    <row r="57" spans="2:11" ht="12.75">
      <c r="B57" s="13">
        <f t="shared" si="1"/>
        <v>49</v>
      </c>
      <c r="C57" s="18"/>
      <c r="D57" s="18"/>
      <c r="E57" s="14" t="s">
        <v>30</v>
      </c>
      <c r="F57" s="3"/>
      <c r="G57" s="12"/>
      <c r="H57" s="6" t="str">
        <f t="shared" si="2"/>
        <v>WRONG</v>
      </c>
      <c r="I57" s="8"/>
      <c r="J57" s="9" t="str">
        <f>IF($C$4&lt;&gt;"","x","")</f>
        <v>x</v>
      </c>
      <c r="K57" s="6" t="str">
        <f>IF(NOT($C$4=""),"double hit (clear from CB direction for given English)","")</f>
        <v>double hit (clear from CB direction for given English)</v>
      </c>
    </row>
    <row r="58" spans="2:11" ht="12.75">
      <c r="B58" s="13">
        <f t="shared" si="1"/>
        <v>50</v>
      </c>
      <c r="C58" s="18"/>
      <c r="D58" s="18"/>
      <c r="E58" s="14" t="s">
        <v>35</v>
      </c>
      <c r="F58" s="3"/>
      <c r="G58" s="12"/>
      <c r="H58" s="6" t="str">
        <f t="shared" si="2"/>
        <v>WRONG</v>
      </c>
      <c r="I58" s="8"/>
      <c r="J58" s="9" t="str">
        <f>IF($C$4&lt;&gt;"","x","")</f>
        <v>x</v>
      </c>
      <c r="K58" s="6" t="str">
        <f>IF(NOT($C$4=""),"double hit (CB driven forward)","")</f>
        <v>double hit (CB driven forward)</v>
      </c>
    </row>
    <row r="59" spans="2:11" ht="12.75">
      <c r="B59" s="13">
        <f t="shared" si="1"/>
        <v>51</v>
      </c>
      <c r="C59" s="18"/>
      <c r="D59" s="18"/>
      <c r="E59" s="14" t="s">
        <v>39</v>
      </c>
      <c r="F59" s="3"/>
      <c r="G59" s="12"/>
      <c r="H59" s="6" t="str">
        <f t="shared" si="2"/>
        <v>WRONG</v>
      </c>
      <c r="I59" s="8"/>
      <c r="J59" s="9" t="str">
        <f>IF($C$4&lt;&gt;"","x","")</f>
        <v>x</v>
      </c>
      <c r="K59" s="6" t="str">
        <f>IF(NOT($C$4=""),"push","")</f>
        <v>push</v>
      </c>
    </row>
    <row r="60" spans="2:11" ht="12.75">
      <c r="B60" s="13">
        <f t="shared" si="1"/>
        <v>52</v>
      </c>
      <c r="C60" s="18"/>
      <c r="D60" s="18"/>
      <c r="E60" s="14" t="s">
        <v>40</v>
      </c>
      <c r="F60" s="3"/>
      <c r="G60" s="12"/>
      <c r="H60" s="6" t="str">
        <f t="shared" si="2"/>
        <v>WRONG</v>
      </c>
      <c r="I60" s="9" t="str">
        <f aca="true" t="shared" si="3" ref="I60:I65">IF($C$4&lt;&gt;"","x","")</f>
        <v>x</v>
      </c>
      <c r="J60" s="8"/>
      <c r="K60" s="6" t="str">
        <f>IF(NOT($C$4=""),"TOUGH CALL - double hit possible but not clear","")</f>
        <v>TOUGH CALL - double hit possible but not clear</v>
      </c>
    </row>
    <row r="61" spans="2:11" ht="12.75">
      <c r="B61" s="13">
        <f t="shared" si="1"/>
        <v>53</v>
      </c>
      <c r="C61" s="18"/>
      <c r="D61" s="18"/>
      <c r="E61" s="14" t="s">
        <v>30</v>
      </c>
      <c r="F61" s="3"/>
      <c r="G61" s="12"/>
      <c r="H61" s="6" t="str">
        <f t="shared" si="2"/>
        <v>WRONG</v>
      </c>
      <c r="I61" s="9" t="str">
        <f t="shared" si="3"/>
        <v>x</v>
      </c>
      <c r="J61" s="8"/>
      <c r="K61" s="6" t="str">
        <f>IF(NOT($C$4=""),"CB motion clearly not altered","")</f>
        <v>CB motion clearly not altered</v>
      </c>
    </row>
    <row r="62" spans="2:11" ht="12.75">
      <c r="B62" s="13">
        <f t="shared" si="1"/>
        <v>54</v>
      </c>
      <c r="C62" s="18"/>
      <c r="D62" s="18"/>
      <c r="E62" s="14" t="s">
        <v>38</v>
      </c>
      <c r="F62" s="3"/>
      <c r="G62" s="12"/>
      <c r="H62" s="6" t="str">
        <f t="shared" si="2"/>
        <v>WRONG</v>
      </c>
      <c r="I62" s="9" t="str">
        <f t="shared" si="3"/>
        <v>x</v>
      </c>
      <c r="J62" s="8"/>
      <c r="K62" s="6" t="str">
        <f>IF(NOT($C$4=""),"CB clearly came off the 3-ball tangent line","")</f>
        <v>CB clearly came off the 3-ball tangent line</v>
      </c>
    </row>
    <row r="63" spans="2:11" ht="12.75">
      <c r="B63" s="13">
        <f t="shared" si="1"/>
        <v>55</v>
      </c>
      <c r="C63" s="18"/>
      <c r="D63" s="18"/>
      <c r="E63" s="14" t="s">
        <v>13</v>
      </c>
      <c r="F63" s="3"/>
      <c r="G63" s="12"/>
      <c r="H63" s="6" t="str">
        <f t="shared" si="2"/>
        <v>WRONG</v>
      </c>
      <c r="I63" s="9" t="str">
        <f t="shared" si="3"/>
        <v>x</v>
      </c>
      <c r="J63" s="8"/>
      <c r="K63" s="6" t="str">
        <f>IF(NOT($C$4=""),"CB clearly came off the 9-ball tangent line","")</f>
        <v>CB clearly came off the 9-ball tangent line</v>
      </c>
    </row>
    <row r="64" spans="2:11" ht="12.75">
      <c r="B64" s="13">
        <f t="shared" si="1"/>
        <v>56</v>
      </c>
      <c r="C64" s="18"/>
      <c r="D64" s="18"/>
      <c r="E64" s="14" t="s">
        <v>20</v>
      </c>
      <c r="F64" s="3"/>
      <c r="G64" s="12"/>
      <c r="H64" s="6" t="str">
        <f t="shared" si="2"/>
        <v>WRONG</v>
      </c>
      <c r="I64" s="9" t="str">
        <f t="shared" si="3"/>
        <v>x</v>
      </c>
      <c r="J64" s="8"/>
      <c r="K64" s="6" t="str">
        <f>IF(NOT($C$4=""),"don't need to hit the 1-ball first in a push-out; the 1-ball stays down","")</f>
        <v>don't need to hit the 1-ball first in a push-out; the 1-ball stays down</v>
      </c>
    </row>
    <row r="65" spans="2:11" ht="12.75">
      <c r="B65" s="13">
        <f t="shared" si="1"/>
        <v>57</v>
      </c>
      <c r="C65" s="18"/>
      <c r="D65" s="18"/>
      <c r="E65" s="14" t="s">
        <v>35</v>
      </c>
      <c r="F65" s="3"/>
      <c r="G65" s="12"/>
      <c r="H65" s="6" t="str">
        <f t="shared" si="2"/>
        <v>WRONG</v>
      </c>
      <c r="I65" s="9" t="str">
        <f t="shared" si="3"/>
        <v>x</v>
      </c>
      <c r="J65" s="8"/>
      <c r="K65" s="6" t="str">
        <f>IF(NOT($C$4=""),"TOUGH CALL - difficult to tell if CB hit the rail in the video","")</f>
        <v>TOUGH CALL - difficult to tell if CB hit the rail in the video</v>
      </c>
    </row>
    <row r="66" spans="2:11" ht="12.75">
      <c r="B66" s="13">
        <f t="shared" si="1"/>
        <v>58</v>
      </c>
      <c r="C66" s="18"/>
      <c r="D66" s="18"/>
      <c r="E66" s="14" t="s">
        <v>41</v>
      </c>
      <c r="F66" s="3"/>
      <c r="G66" s="12"/>
      <c r="H66" s="6" t="str">
        <f t="shared" si="2"/>
        <v>WRONG</v>
      </c>
      <c r="I66" s="8"/>
      <c r="J66" s="9" t="str">
        <f>IF($C$4&lt;&gt;"","x","")</f>
        <v>x</v>
      </c>
      <c r="K66" s="6" t="str">
        <f>IF(NOT($C$4=""),"double hit (clear from CB direction)","")</f>
        <v>double hit (clear from CB direction)</v>
      </c>
    </row>
    <row r="67" spans="2:11" ht="12.75">
      <c r="B67" s="13">
        <f t="shared" si="1"/>
        <v>59</v>
      </c>
      <c r="C67" s="18"/>
      <c r="D67" s="18"/>
      <c r="E67" s="14" t="s">
        <v>42</v>
      </c>
      <c r="F67" s="3"/>
      <c r="G67" s="12"/>
      <c r="H67" s="6" t="str">
        <f t="shared" si="2"/>
        <v>WRONG</v>
      </c>
      <c r="I67" s="8"/>
      <c r="J67" s="9" t="str">
        <f>IF($C$4&lt;&gt;"","x","")</f>
        <v>x</v>
      </c>
      <c r="K67" s="6" t="str">
        <f>IF(NOT($C$4=""),"illegal stroke (tip lifted up, not stroked into the ball)","")</f>
        <v>illegal stroke (tip lifted up, not stroked into the ball)</v>
      </c>
    </row>
    <row r="68" spans="2:11" ht="12.75">
      <c r="B68" s="13">
        <f t="shared" si="1"/>
        <v>60</v>
      </c>
      <c r="C68" s="18"/>
      <c r="D68" s="18"/>
      <c r="E68" s="14" t="s">
        <v>35</v>
      </c>
      <c r="F68" s="3"/>
      <c r="G68" s="12"/>
      <c r="H68" s="6" t="str">
        <f t="shared" si="2"/>
        <v>WRONG</v>
      </c>
      <c r="I68" s="8"/>
      <c r="J68" s="9" t="str">
        <f>IF($C$4&lt;&gt;"","x","")</f>
        <v>x</v>
      </c>
      <c r="K68" s="6" t="str">
        <f>IF(NOT($C$4=""),"no rail after contact","")</f>
        <v>no rail after contact</v>
      </c>
    </row>
    <row r="69" spans="2:11" ht="12.75">
      <c r="B69" s="13">
        <f t="shared" si="1"/>
        <v>61</v>
      </c>
      <c r="C69" s="18"/>
      <c r="D69" s="18"/>
      <c r="E69" s="14" t="s">
        <v>43</v>
      </c>
      <c r="F69" s="3"/>
      <c r="G69" s="12"/>
      <c r="H69" s="6" t="str">
        <f t="shared" si="2"/>
        <v>WRONG</v>
      </c>
      <c r="I69" s="8"/>
      <c r="J69" s="9" t="str">
        <f>IF($C$4&lt;&gt;"","x","")</f>
        <v>x</v>
      </c>
      <c r="K69" s="6" t="str">
        <f>IF(NOT($C$4=""),"rail first (judging from CB direction), no rail after contact","")</f>
        <v>rail first (judging from CB direction), no rail after contact</v>
      </c>
    </row>
    <row r="70" spans="2:11" ht="12.75">
      <c r="B70" s="13">
        <f t="shared" si="1"/>
        <v>62</v>
      </c>
      <c r="C70" s="18"/>
      <c r="D70" s="18"/>
      <c r="E70" s="14" t="s">
        <v>20</v>
      </c>
      <c r="F70" s="3"/>
      <c r="G70" s="12"/>
      <c r="H70" s="6" t="str">
        <f t="shared" si="2"/>
        <v>WRONG</v>
      </c>
      <c r="I70" s="9" t="str">
        <f>IF($C$4&lt;&gt;"","x","")</f>
        <v>x</v>
      </c>
      <c r="J70" s="8"/>
      <c r="K70" s="6" t="str">
        <f>IF(NOT($C$4=""),"legal shot, the 1-ball stays down","")</f>
        <v>legal shot, the 1-ball stays down</v>
      </c>
    </row>
    <row r="71" spans="2:11" ht="12.75">
      <c r="B71" s="13">
        <f t="shared" si="1"/>
        <v>63</v>
      </c>
      <c r="C71" s="18"/>
      <c r="D71" s="18"/>
      <c r="E71" s="14" t="s">
        <v>41</v>
      </c>
      <c r="F71" s="3"/>
      <c r="G71" s="12"/>
      <c r="H71" s="6" t="str">
        <f t="shared" si="2"/>
        <v>WRONG</v>
      </c>
      <c r="I71" s="9" t="str">
        <f>IF($C$4&lt;&gt;"","x","")</f>
        <v>x</v>
      </c>
      <c r="J71" s="8"/>
      <c r="K71" s="6" t="str">
        <f>IF(NOT($C$4=""),"CB motion likely not altered (i.e., double hit not likely)","")</f>
        <v>CB motion likely not altered (i.e., double hit not likely)</v>
      </c>
    </row>
    <row r="72" spans="2:11" ht="12.75">
      <c r="B72" s="13">
        <f t="shared" si="1"/>
        <v>64</v>
      </c>
      <c r="C72" s="18"/>
      <c r="D72" s="18"/>
      <c r="E72" s="14" t="s">
        <v>44</v>
      </c>
      <c r="F72" s="3"/>
      <c r="G72" s="12"/>
      <c r="H72" s="6" t="str">
        <f t="shared" si="2"/>
        <v>WRONG</v>
      </c>
      <c r="I72" s="9" t="str">
        <f>IF($C$4&lt;&gt;"","x","")</f>
        <v>x</v>
      </c>
      <c r="J72" s="8"/>
      <c r="K72" s="6" t="str">
        <f>IF(NOT($C$4=""),"CB motion likely not altered (i.e., double hit not likely)","")</f>
        <v>CB motion likely not altered (i.e., double hit not likely)</v>
      </c>
    </row>
    <row r="73" spans="2:11" ht="12.75">
      <c r="B73" s="13">
        <f t="shared" si="1"/>
        <v>65</v>
      </c>
      <c r="C73" s="18"/>
      <c r="D73" s="18"/>
      <c r="E73" s="14" t="s">
        <v>16</v>
      </c>
      <c r="F73" s="3"/>
      <c r="G73" s="12"/>
      <c r="H73" s="6" t="str">
        <f aca="true" t="shared" si="4" ref="H73:H104">IF($C$4&lt;&gt;"",IF(OR(AND(AND(C73&lt;&gt;"",I73&lt;&gt;""),AND(D73="",J73="")),AND(AND(C73="",I73=""),AND(D73&lt;&gt;"",J73&lt;&gt;""))),"","WRONG"),"")</f>
        <v>WRONG</v>
      </c>
      <c r="I73" s="8"/>
      <c r="J73" s="9" t="str">
        <f>IF($C$4&lt;&gt;"","x","")</f>
        <v>x</v>
      </c>
      <c r="K73" s="6" t="str">
        <f>IF(NOT($C$4=""),"even if 'CB fouls only,'  because moved ball gets hit by another ball","")</f>
        <v>even if 'CB fouls only,'  because moved ball gets hit by another ball</v>
      </c>
    </row>
    <row r="74" spans="2:11" ht="12.75">
      <c r="B74" s="13">
        <f t="shared" si="1"/>
        <v>66</v>
      </c>
      <c r="C74" s="18"/>
      <c r="D74" s="18"/>
      <c r="E74" s="14" t="s">
        <v>43</v>
      </c>
      <c r="F74" s="3"/>
      <c r="G74" s="12"/>
      <c r="H74" s="6" t="str">
        <f t="shared" si="4"/>
        <v>WRONG</v>
      </c>
      <c r="I74" s="9" t="str">
        <f>IF($C$4&lt;&gt;"","x","")</f>
        <v>x</v>
      </c>
      <c r="J74" s="8"/>
      <c r="K74" s="6" t="str">
        <f>IF(NOT($C$4=""),"OB hit first, CB hit rail after contact","")</f>
        <v>OB hit first, CB hit rail after contact</v>
      </c>
    </row>
    <row r="75" spans="2:11" ht="12.75">
      <c r="B75" s="13">
        <f aca="true" t="shared" si="5" ref="B75:B108">B74+1</f>
        <v>67</v>
      </c>
      <c r="C75" s="18"/>
      <c r="D75" s="18"/>
      <c r="E75" s="14" t="s">
        <v>42</v>
      </c>
      <c r="F75" s="3"/>
      <c r="G75" s="12"/>
      <c r="H75" s="6" t="str">
        <f t="shared" si="4"/>
        <v>WRONG</v>
      </c>
      <c r="I75" s="9" t="str">
        <f>IF($C$4&lt;&gt;"","x","")</f>
        <v>x</v>
      </c>
      <c r="J75" s="8"/>
      <c r="K75" s="6" t="str">
        <f>IF(NOT($C$4=""),"CB motion clearly not altered (i.e., no double hit)","")</f>
        <v>CB motion clearly not altered (i.e., no double hit)</v>
      </c>
    </row>
    <row r="76" spans="2:11" ht="12.75">
      <c r="B76" s="13">
        <f t="shared" si="5"/>
        <v>68</v>
      </c>
      <c r="C76" s="18"/>
      <c r="D76" s="18"/>
      <c r="E76" s="14" t="s">
        <v>10</v>
      </c>
      <c r="F76" s="3"/>
      <c r="G76" s="12"/>
      <c r="H76" s="6" t="str">
        <f t="shared" si="4"/>
        <v>WRONG</v>
      </c>
      <c r="I76" s="8"/>
      <c r="J76" s="9" t="str">
        <f>IF($C$4&lt;&gt;"","x","")</f>
        <v>x</v>
      </c>
      <c r="K76" s="6" t="str">
        <f>IF(NOT($C$4=""),"double hit (clear from CB direction)","")</f>
        <v>double hit (clear from CB direction)</v>
      </c>
    </row>
    <row r="77" spans="2:11" ht="13.5" thickBot="1">
      <c r="B77" s="15">
        <f t="shared" si="5"/>
        <v>69</v>
      </c>
      <c r="C77" s="21"/>
      <c r="D77" s="21"/>
      <c r="E77" s="16" t="s">
        <v>44</v>
      </c>
      <c r="F77" s="4"/>
      <c r="G77" s="12"/>
      <c r="H77" s="6" t="str">
        <f t="shared" si="4"/>
        <v>WRONG</v>
      </c>
      <c r="I77" s="8"/>
      <c r="J77" s="9" t="str">
        <f>IF($C$4&lt;&gt;"","x","")</f>
        <v>x</v>
      </c>
      <c r="K77" s="6" t="str">
        <f>IF(NOT($C$4=""),"double hit (CB driven forward)","")</f>
        <v>double hit (CB driven forward)</v>
      </c>
    </row>
    <row r="78" spans="2:11" ht="12.75">
      <c r="B78" s="10">
        <f t="shared" si="5"/>
        <v>70</v>
      </c>
      <c r="C78" s="20"/>
      <c r="D78" s="20"/>
      <c r="E78" s="11" t="s">
        <v>13</v>
      </c>
      <c r="F78" s="2"/>
      <c r="G78" s="12"/>
      <c r="H78" s="6" t="str">
        <f t="shared" si="4"/>
        <v>WRONG</v>
      </c>
      <c r="I78" s="8"/>
      <c r="J78" s="9" t="str">
        <f>IF($C$4&lt;&gt;"","x","")</f>
        <v>x</v>
      </c>
      <c r="K78" s="6" t="str">
        <f>IF(NOT($C$4=""),"wrong ball first","")</f>
        <v>wrong ball first</v>
      </c>
    </row>
    <row r="79" spans="2:11" ht="12.75">
      <c r="B79" s="13">
        <f t="shared" si="5"/>
        <v>71</v>
      </c>
      <c r="C79" s="18"/>
      <c r="D79" s="18"/>
      <c r="E79" s="14" t="s">
        <v>20</v>
      </c>
      <c r="F79" s="3"/>
      <c r="G79" s="12"/>
      <c r="H79" s="6" t="str">
        <f t="shared" si="4"/>
        <v>WRONG</v>
      </c>
      <c r="I79" s="8"/>
      <c r="J79" s="9" t="str">
        <f>IF($C$4&lt;&gt;"","x","")</f>
        <v>x</v>
      </c>
      <c r="K79" s="6" t="str">
        <f>IF(NOT($C$4=""),"bad contact (ferrule, not tip) and improper stroke; possible unsportsmanlike conduct","")</f>
        <v>bad contact (ferrule, not tip) and improper stroke; possible unsportsmanlike conduct</v>
      </c>
    </row>
    <row r="80" spans="2:11" ht="12.75">
      <c r="B80" s="13">
        <f t="shared" si="5"/>
        <v>72</v>
      </c>
      <c r="C80" s="18"/>
      <c r="D80" s="18"/>
      <c r="E80" s="14" t="s">
        <v>45</v>
      </c>
      <c r="F80" s="3"/>
      <c r="G80" s="12"/>
      <c r="H80" s="6" t="str">
        <f t="shared" si="4"/>
        <v>WRONG</v>
      </c>
      <c r="I80" s="8"/>
      <c r="J80" s="9" t="str">
        <f>IF($C$4&lt;&gt;"","x","")</f>
        <v>x</v>
      </c>
      <c r="K80" s="6" t="str">
        <f>IF(NOT($C$4=""),"TOUGH CALL - double hit (due to CB going forward of tangent line, which is difficult to see in the video)","")</f>
        <v>TOUGH CALL - double hit (due to CB going forward of tangent line, which is difficult to see in the video)</v>
      </c>
    </row>
    <row r="81" spans="2:11" ht="12.75">
      <c r="B81" s="13">
        <f t="shared" si="5"/>
        <v>73</v>
      </c>
      <c r="C81" s="18"/>
      <c r="D81" s="18"/>
      <c r="E81" s="14" t="s">
        <v>39</v>
      </c>
      <c r="F81" s="3"/>
      <c r="G81" s="12"/>
      <c r="H81" s="6" t="str">
        <f t="shared" si="4"/>
        <v>WRONG</v>
      </c>
      <c r="I81" s="9" t="str">
        <f>IF($C$4&lt;&gt;"","x","")</f>
        <v>x</v>
      </c>
      <c r="J81" s="8"/>
      <c r="K81" s="6" t="str">
        <f>IF(NOT($C$4=""),"almost a push, but not","")</f>
        <v>almost a push, but not</v>
      </c>
    </row>
    <row r="82" spans="2:11" ht="12.75">
      <c r="B82" s="13">
        <f t="shared" si="5"/>
        <v>74</v>
      </c>
      <c r="C82" s="18"/>
      <c r="D82" s="18"/>
      <c r="E82" s="14" t="s">
        <v>46</v>
      </c>
      <c r="F82" s="3"/>
      <c r="G82" s="12"/>
      <c r="H82" s="6" t="str">
        <f t="shared" si="4"/>
        <v>WRONG</v>
      </c>
      <c r="I82" s="9" t="str">
        <f>IF($C$4&lt;&gt;"","x","")</f>
        <v>x</v>
      </c>
      <c r="J82" s="8"/>
      <c r="K82" s="6" t="str">
        <f>IF(NOT($C$4=""),"CB came off in tangent line direction before follow took","")</f>
        <v>CB came off in tangent line direction before follow took</v>
      </c>
    </row>
    <row r="83" spans="2:11" ht="12.75">
      <c r="B83" s="13">
        <f t="shared" si="5"/>
        <v>75</v>
      </c>
      <c r="C83" s="18"/>
      <c r="D83" s="18"/>
      <c r="E83" s="14" t="s">
        <v>43</v>
      </c>
      <c r="F83" s="3"/>
      <c r="G83" s="12"/>
      <c r="H83" s="6" t="str">
        <f t="shared" si="4"/>
        <v>WRONG</v>
      </c>
      <c r="I83" s="9" t="str">
        <f>IF($C$4&lt;&gt;"","x","")</f>
        <v>x</v>
      </c>
      <c r="J83" s="8"/>
      <c r="K83" s="6" t="str">
        <f>IF(NOT($C$4=""),"OB hit first, CB hit rail after contact","")</f>
        <v>OB hit first, CB hit rail after contact</v>
      </c>
    </row>
    <row r="84" spans="2:11" ht="12.75">
      <c r="B84" s="13">
        <f t="shared" si="5"/>
        <v>76</v>
      </c>
      <c r="C84" s="18"/>
      <c r="D84" s="18"/>
      <c r="E84" s="14" t="s">
        <v>14</v>
      </c>
      <c r="F84" s="3"/>
      <c r="G84" s="12"/>
      <c r="H84" s="6" t="str">
        <f t="shared" si="4"/>
        <v>WRONG</v>
      </c>
      <c r="I84" s="9" t="str">
        <f>IF($C$4&lt;&gt;"","x","")</f>
        <v>x</v>
      </c>
      <c r="J84" s="8"/>
      <c r="K84" s="6" t="str">
        <f>IF(NOT($C$4=""),"OB pocketed","")</f>
        <v>OB pocketed</v>
      </c>
    </row>
    <row r="85" spans="2:11" ht="12.75">
      <c r="B85" s="13">
        <f t="shared" si="5"/>
        <v>77</v>
      </c>
      <c r="C85" s="18"/>
      <c r="D85" s="18"/>
      <c r="E85" s="14" t="s">
        <v>47</v>
      </c>
      <c r="F85" s="3"/>
      <c r="G85" s="12"/>
      <c r="H85" s="6" t="str">
        <f t="shared" si="4"/>
        <v>WRONG</v>
      </c>
      <c r="I85" s="9" t="str">
        <f>IF($C$4&lt;&gt;"","x","")</f>
        <v>x</v>
      </c>
      <c r="J85" s="8"/>
      <c r="K85" s="6" t="str">
        <f>IF(NOT($C$4=""),"CB motion clearly not altered (i.e., no double hit)","")</f>
        <v>CB motion clearly not altered (i.e., no double hit)</v>
      </c>
    </row>
    <row r="86" spans="2:11" ht="12.75">
      <c r="B86" s="13">
        <f t="shared" si="5"/>
        <v>78</v>
      </c>
      <c r="C86" s="18"/>
      <c r="D86" s="18"/>
      <c r="E86" s="14" t="s">
        <v>42</v>
      </c>
      <c r="F86" s="3"/>
      <c r="G86" s="12"/>
      <c r="H86" s="6" t="str">
        <f t="shared" si="4"/>
        <v>WRONG</v>
      </c>
      <c r="I86" s="8"/>
      <c r="J86" s="9" t="str">
        <f>IF($C$4&lt;&gt;"","x","")</f>
        <v>x</v>
      </c>
      <c r="K86" s="6" t="str">
        <f>IF(NOT($C$4=""),"double hit","")</f>
        <v>double hit</v>
      </c>
    </row>
    <row r="87" spans="2:11" ht="12.75">
      <c r="B87" s="13">
        <f t="shared" si="5"/>
        <v>79</v>
      </c>
      <c r="C87" s="18"/>
      <c r="D87" s="18"/>
      <c r="E87" s="14" t="s">
        <v>48</v>
      </c>
      <c r="F87" s="3"/>
      <c r="G87" s="12"/>
      <c r="H87" s="6" t="str">
        <f t="shared" si="4"/>
        <v>WRONG</v>
      </c>
      <c r="I87" s="9" t="str">
        <f>IF($C$4&lt;&gt;"","x","")</f>
        <v>x</v>
      </c>
      <c r="J87" s="8"/>
      <c r="K87" s="6" t="str">
        <f>IF(NOT($C$4=""),"unintentional miscue, but CB motion clearly not altered after miscue (i.e., no double hit)","")</f>
        <v>unintentional miscue, but CB motion clearly not altered after miscue (i.e., no double hit)</v>
      </c>
    </row>
    <row r="88" spans="2:11" ht="12.75">
      <c r="B88" s="13">
        <f t="shared" si="5"/>
        <v>80</v>
      </c>
      <c r="C88" s="18"/>
      <c r="D88" s="18"/>
      <c r="E88" s="14" t="s">
        <v>49</v>
      </c>
      <c r="F88" s="3"/>
      <c r="G88" s="12"/>
      <c r="H88" s="6" t="str">
        <f t="shared" si="4"/>
        <v>WRONG</v>
      </c>
      <c r="I88" s="8"/>
      <c r="J88" s="9" t="str">
        <f>IF($C$4&lt;&gt;"","x","")</f>
        <v>x</v>
      </c>
      <c r="K88" s="6" t="str">
        <f>IF(NOT($C$4=""),"double hit (CB driven forward)","")</f>
        <v>double hit (CB driven forward)</v>
      </c>
    </row>
    <row r="89" spans="2:11" ht="12.75">
      <c r="B89" s="13">
        <f t="shared" si="5"/>
        <v>81</v>
      </c>
      <c r="C89" s="18"/>
      <c r="D89" s="18"/>
      <c r="E89" s="14" t="s">
        <v>39</v>
      </c>
      <c r="F89" s="3"/>
      <c r="G89" s="12"/>
      <c r="H89" s="6" t="str">
        <f t="shared" si="4"/>
        <v>WRONG</v>
      </c>
      <c r="I89" s="8"/>
      <c r="J89" s="9" t="str">
        <f>IF($C$4&lt;&gt;"","x","")</f>
        <v>x</v>
      </c>
      <c r="K89" s="6" t="str">
        <f>IF(NOT($C$4=""),"push","")</f>
        <v>push</v>
      </c>
    </row>
    <row r="90" spans="2:11" ht="12.75">
      <c r="B90" s="13">
        <f t="shared" si="5"/>
        <v>82</v>
      </c>
      <c r="C90" s="18"/>
      <c r="D90" s="18"/>
      <c r="E90" s="14" t="s">
        <v>15</v>
      </c>
      <c r="F90" s="3"/>
      <c r="G90" s="12"/>
      <c r="H90" s="6" t="str">
        <f t="shared" si="4"/>
        <v>WRONG</v>
      </c>
      <c r="I90" s="9" t="str">
        <f>IF($C$4&lt;&gt;"","x","")</f>
        <v>x</v>
      </c>
      <c r="J90" s="8"/>
      <c r="K90" s="6" t="str">
        <f>IF(NOT($C$4=""),"unintentional miscue, and 1-ball hit first","")</f>
        <v>unintentional miscue, and 1-ball hit first</v>
      </c>
    </row>
    <row r="91" spans="2:11" ht="12.75">
      <c r="B91" s="13">
        <f t="shared" si="5"/>
        <v>83</v>
      </c>
      <c r="C91" s="18"/>
      <c r="D91" s="18"/>
      <c r="E91" s="14" t="s">
        <v>16</v>
      </c>
      <c r="F91" s="3"/>
      <c r="G91" s="12"/>
      <c r="H91" s="6" t="str">
        <f t="shared" si="4"/>
        <v>WRONG</v>
      </c>
      <c r="I91" s="8"/>
      <c r="J91" s="9" t="str">
        <f>IF($C$4&lt;&gt;"","x","")</f>
        <v>x</v>
      </c>
      <c r="K91" s="6" t="str">
        <f>IF(NOT($C$4=""),"even if 'CB fouls only' because the accidentally moved ball was moved again on purpose","")</f>
        <v>even if 'CB fouls only' because the accidentally moved ball was moved again on purpose</v>
      </c>
    </row>
    <row r="92" spans="2:11" ht="12.75">
      <c r="B92" s="13">
        <f t="shared" si="5"/>
        <v>84</v>
      </c>
      <c r="C92" s="18"/>
      <c r="D92" s="18"/>
      <c r="E92" s="14" t="s">
        <v>17</v>
      </c>
      <c r="F92" s="3"/>
      <c r="G92" s="12"/>
      <c r="H92" s="6" t="str">
        <f t="shared" si="4"/>
        <v>WRONG</v>
      </c>
      <c r="I92" s="8"/>
      <c r="J92" s="9" t="str">
        <f>IF($C$4&lt;&gt;"","x","")</f>
        <v>x</v>
      </c>
      <c r="K92" s="6" t="str">
        <f>IF(NOT($C$4=""),"even if 'CB fouls only' because moved ball gets hit by another ball","")</f>
        <v>even if 'CB fouls only' because moved ball gets hit by another ball</v>
      </c>
    </row>
    <row r="93" spans="2:11" ht="12.75">
      <c r="B93" s="13">
        <f t="shared" si="5"/>
        <v>85</v>
      </c>
      <c r="C93" s="18"/>
      <c r="D93" s="18"/>
      <c r="E93" s="14" t="s">
        <v>50</v>
      </c>
      <c r="F93" s="3"/>
      <c r="G93" s="12"/>
      <c r="H93" s="6" t="str">
        <f t="shared" si="4"/>
        <v>WRONG</v>
      </c>
      <c r="I93" s="8"/>
      <c r="J93" s="9" t="str">
        <f>IF($C$4&lt;&gt;"","x","")</f>
        <v>x</v>
      </c>
      <c r="K93" s="6" t="str">
        <f>IF(NOT($C$4=""),"double hit and possible unsportsmanlike conduct (illegally pocketing the 9-ball on purpose, so it would be spotted)","")</f>
        <v>double hit and possible unsportsmanlike conduct (illegally pocketing the 9-ball on purpose, so it would be spotted)</v>
      </c>
    </row>
    <row r="94" spans="2:11" ht="12.75">
      <c r="B94" s="13">
        <f t="shared" si="5"/>
        <v>86</v>
      </c>
      <c r="C94" s="18"/>
      <c r="D94" s="18"/>
      <c r="E94" s="14" t="s">
        <v>13</v>
      </c>
      <c r="F94" s="3"/>
      <c r="G94" s="12"/>
      <c r="H94" s="6" t="str">
        <f t="shared" si="4"/>
        <v>WRONG</v>
      </c>
      <c r="I94" s="9" t="str">
        <f>IF($C$4&lt;&gt;"","x","")</f>
        <v>x</v>
      </c>
      <c r="J94" s="8"/>
      <c r="K94" s="6" t="str">
        <f>IF(NOT($C$4=""),"no clear first","")</f>
        <v>no clear first</v>
      </c>
    </row>
    <row r="95" spans="2:11" ht="12.75">
      <c r="B95" s="13">
        <f t="shared" si="5"/>
        <v>87</v>
      </c>
      <c r="C95" s="18"/>
      <c r="D95" s="18"/>
      <c r="E95" s="14" t="s">
        <v>47</v>
      </c>
      <c r="F95" s="3"/>
      <c r="G95" s="12"/>
      <c r="H95" s="6" t="str">
        <f t="shared" si="4"/>
        <v>WRONG</v>
      </c>
      <c r="I95" s="8"/>
      <c r="J95" s="9" t="str">
        <f>IF($C$4&lt;&gt;"","x","")</f>
        <v>x</v>
      </c>
      <c r="K95" s="6" t="str">
        <f>IF(NOT($C$4=""),"double hit","")</f>
        <v>double hit</v>
      </c>
    </row>
    <row r="96" spans="2:11" ht="12.75">
      <c r="B96" s="13">
        <f t="shared" si="5"/>
        <v>88</v>
      </c>
      <c r="C96" s="18"/>
      <c r="D96" s="18"/>
      <c r="E96" s="14" t="s">
        <v>51</v>
      </c>
      <c r="F96" s="3"/>
      <c r="G96" s="12"/>
      <c r="H96" s="6" t="str">
        <f t="shared" si="4"/>
        <v>WRONG</v>
      </c>
      <c r="I96" s="8"/>
      <c r="J96" s="9" t="str">
        <f>IF($C$4&lt;&gt;"","x","")</f>
        <v>x</v>
      </c>
      <c r="K96" s="6" t="str">
        <f>IF(NOT($C$4=""),"no rail after contact","")</f>
        <v>no rail after contact</v>
      </c>
    </row>
    <row r="97" spans="2:11" ht="12.75">
      <c r="B97" s="13">
        <f t="shared" si="5"/>
        <v>89</v>
      </c>
      <c r="C97" s="18"/>
      <c r="D97" s="18"/>
      <c r="E97" s="14" t="s">
        <v>52</v>
      </c>
      <c r="F97" s="3"/>
      <c r="G97" s="12"/>
      <c r="H97" s="6" t="str">
        <f t="shared" si="4"/>
        <v>WRONG</v>
      </c>
      <c r="I97" s="8"/>
      <c r="J97" s="9" t="str">
        <f>IF($C$4&lt;&gt;"","x","")</f>
        <v>x</v>
      </c>
      <c r="K97" s="6" t="str">
        <f>IF(NOT($C$4=""),"TOUGH CALL - push stroke (with likely extended contact and/or multiple hits); the sound implies there was a gap, but the balls were declared 'frozen,' so a proper (non-pushing) stroke would have been allowed","")</f>
        <v>TOUGH CALL - push stroke (with likely extended contact and/or multiple hits); the sound implies there was a gap, but the balls were declared 'frozen,' so a proper (non-pushing) stroke would have been allowed</v>
      </c>
    </row>
    <row r="98" spans="2:11" ht="12.75">
      <c r="B98" s="13">
        <f t="shared" si="5"/>
        <v>90</v>
      </c>
      <c r="C98" s="18"/>
      <c r="D98" s="18"/>
      <c r="E98" s="14" t="s">
        <v>48</v>
      </c>
      <c r="F98" s="3"/>
      <c r="G98" s="12"/>
      <c r="H98" s="6" t="str">
        <f t="shared" si="4"/>
        <v>WRONG</v>
      </c>
      <c r="I98" s="8"/>
      <c r="J98" s="9" t="str">
        <f>IF($C$4&lt;&gt;"","x","")</f>
        <v>x</v>
      </c>
      <c r="K98" s="6" t="str">
        <f>IF(NOT($C$4=""),"double hit (CB moved forward without delay)","")</f>
        <v>double hit (CB moved forward without delay)</v>
      </c>
    </row>
    <row r="99" spans="2:11" ht="12.75">
      <c r="B99" s="13">
        <f t="shared" si="5"/>
        <v>91</v>
      </c>
      <c r="C99" s="18"/>
      <c r="D99" s="18"/>
      <c r="E99" s="14" t="s">
        <v>42</v>
      </c>
      <c r="F99" s="3"/>
      <c r="G99" s="12"/>
      <c r="H99" s="6" t="str">
        <f t="shared" si="4"/>
        <v>WRONG</v>
      </c>
      <c r="I99" s="8"/>
      <c r="J99" s="9" t="str">
        <f>IF($C$4&lt;&gt;"","x","")</f>
        <v>x</v>
      </c>
      <c r="K99" s="6" t="str">
        <f>IF(NOT($C$4=""),"TOUGH CALL - double hit (based on OB motion) but difficult to judge","")</f>
        <v>TOUGH CALL - double hit (based on OB motion) but difficult to judge</v>
      </c>
    </row>
    <row r="100" spans="2:11" ht="12.75">
      <c r="B100" s="13">
        <f t="shared" si="5"/>
        <v>92</v>
      </c>
      <c r="C100" s="18"/>
      <c r="D100" s="18"/>
      <c r="E100" s="14" t="s">
        <v>53</v>
      </c>
      <c r="F100" s="3"/>
      <c r="G100" s="12"/>
      <c r="H100" s="6" t="str">
        <f t="shared" si="4"/>
        <v>WRONG</v>
      </c>
      <c r="I100" s="9" t="str">
        <f>IF($C$4&lt;&gt;"","x","")</f>
        <v>x</v>
      </c>
      <c r="J100" s="8"/>
      <c r="K100" s="6" t="str">
        <f>IF(NOT($C$4=""),"TOUGH CALL - double hit is possible, but difficult to judge","")</f>
        <v>TOUGH CALL - double hit is possible, but difficult to judge</v>
      </c>
    </row>
    <row r="101" spans="2:11" ht="12.75">
      <c r="B101" s="13">
        <f t="shared" si="5"/>
        <v>93</v>
      </c>
      <c r="C101" s="18"/>
      <c r="D101" s="18"/>
      <c r="E101" s="14" t="s">
        <v>22</v>
      </c>
      <c r="F101" s="3"/>
      <c r="G101" s="12"/>
      <c r="H101" s="6" t="str">
        <f t="shared" si="4"/>
        <v>WRONG</v>
      </c>
      <c r="I101" s="9" t="str">
        <f>IF($C$4&lt;&gt;"","x","")</f>
        <v>x</v>
      </c>
      <c r="J101" s="8"/>
      <c r="K101" s="6" t="str">
        <f>IF(NOT($C$4=""),"TOUGH CALL - the tangent line direction is difficult to judge","")</f>
        <v>TOUGH CALL - the tangent line direction is difficult to judge</v>
      </c>
    </row>
    <row r="102" spans="2:11" ht="12.75">
      <c r="B102" s="13">
        <f t="shared" si="5"/>
        <v>94</v>
      </c>
      <c r="C102" s="18"/>
      <c r="D102" s="18"/>
      <c r="E102" s="14" t="s">
        <v>54</v>
      </c>
      <c r="F102" s="3"/>
      <c r="G102" s="12"/>
      <c r="H102" s="6" t="str">
        <f t="shared" si="4"/>
        <v>WRONG</v>
      </c>
      <c r="I102" s="8"/>
      <c r="J102" s="9" t="str">
        <f>IF($C$4&lt;&gt;"","x","")</f>
        <v>x</v>
      </c>
      <c r="K102" s="6" t="str">
        <f>IF(NOT($C$4=""),"double hit (OB should nearly stop in place with a single hit)","")</f>
        <v>double hit (OB should nearly stop in place with a single hit)</v>
      </c>
    </row>
    <row r="103" spans="2:11" ht="12.75">
      <c r="B103" s="13">
        <f t="shared" si="5"/>
        <v>95</v>
      </c>
      <c r="C103" s="18"/>
      <c r="D103" s="18"/>
      <c r="E103" s="14" t="s">
        <v>15</v>
      </c>
      <c r="F103" s="3"/>
      <c r="G103" s="12"/>
      <c r="H103" s="6" t="str">
        <f t="shared" si="4"/>
        <v>WRONG</v>
      </c>
      <c r="I103" s="9" t="str">
        <f>IF($C$4&lt;&gt;"","x","")</f>
        <v>x</v>
      </c>
      <c r="J103" s="8"/>
      <c r="K103" s="6" t="str">
        <f>IF(NOT($C$4=""),"unintentional miscue, and 1-ball hit first","")</f>
        <v>unintentional miscue, and 1-ball hit first</v>
      </c>
    </row>
    <row r="104" spans="2:11" ht="12.75">
      <c r="B104" s="13">
        <f t="shared" si="5"/>
        <v>96</v>
      </c>
      <c r="C104" s="18"/>
      <c r="D104" s="18"/>
      <c r="E104" s="14" t="s">
        <v>14</v>
      </c>
      <c r="F104" s="3"/>
      <c r="G104" s="12"/>
      <c r="H104" s="6" t="str">
        <f t="shared" si="4"/>
        <v>WRONG</v>
      </c>
      <c r="I104" s="8"/>
      <c r="J104" s="9" t="str">
        <f>IF($C$4&lt;&gt;"","x","")</f>
        <v>x</v>
      </c>
      <c r="K104" s="6" t="str">
        <f>IF(NOT($C$4=""),"no rail after contact","")</f>
        <v>no rail after contact</v>
      </c>
    </row>
    <row r="105" spans="2:11" ht="12.75">
      <c r="B105" s="13">
        <f t="shared" si="5"/>
        <v>97</v>
      </c>
      <c r="C105" s="18"/>
      <c r="D105" s="18"/>
      <c r="E105" s="14" t="s">
        <v>13</v>
      </c>
      <c r="F105" s="3"/>
      <c r="G105" s="12"/>
      <c r="H105" s="6" t="str">
        <f>IF($C$4&lt;&gt;"",IF(OR(AND(AND(C105&lt;&gt;"",I105&lt;&gt;""),AND(D105="",J105="")),AND(AND(C105="",I105=""),AND(D105&lt;&gt;"",J105&lt;&gt;""))),"","WRONG"),"")</f>
        <v>WRONG</v>
      </c>
      <c r="I105" s="8"/>
      <c r="J105" s="9" t="str">
        <f>IF($C$4&lt;&gt;"","x","")</f>
        <v>x</v>
      </c>
      <c r="K105" s="6" t="str">
        <f>IF(NOT($C$4=""),"secondary ball (9-ball) struck with cue; unsportsmanlike conduct (purposefully committing a foul to try to win the game)","")</f>
        <v>secondary ball (9-ball) struck with cue; unsportsmanlike conduct (purposefully committing a foul to try to win the game)</v>
      </c>
    </row>
    <row r="106" spans="2:11" ht="12.75">
      <c r="B106" s="13">
        <f t="shared" si="5"/>
        <v>98</v>
      </c>
      <c r="C106" s="18"/>
      <c r="D106" s="18"/>
      <c r="E106" s="14" t="s">
        <v>47</v>
      </c>
      <c r="F106" s="3"/>
      <c r="G106" s="12"/>
      <c r="H106" s="6" t="str">
        <f>IF($C$4&lt;&gt;"",IF(OR(AND(AND(C106&lt;&gt;"",I106&lt;&gt;""),AND(D106="",J106="")),AND(AND(C106="",I106=""),AND(D106&lt;&gt;"",J106&lt;&gt;""))),"","WRONG"),"")</f>
        <v>WRONG</v>
      </c>
      <c r="I106" s="8"/>
      <c r="J106" s="9" t="str">
        <f>IF($C$4&lt;&gt;"","x","")</f>
        <v>x</v>
      </c>
      <c r="K106" s="6" t="str">
        <f>IF(NOT($C$4=""),"double hit","")</f>
        <v>double hit</v>
      </c>
    </row>
    <row r="107" spans="2:11" ht="12.75">
      <c r="B107" s="13">
        <f t="shared" si="5"/>
        <v>99</v>
      </c>
      <c r="C107" s="18"/>
      <c r="D107" s="18"/>
      <c r="E107" s="14" t="s">
        <v>53</v>
      </c>
      <c r="F107" s="3"/>
      <c r="G107" s="12"/>
      <c r="H107" s="6" t="str">
        <f>IF($C$4&lt;&gt;"",IF(OR(AND(AND(C107&lt;&gt;"",I107&lt;&gt;""),AND(D107="",J107="")),AND(AND(C107="",I107=""),AND(D107&lt;&gt;"",J107&lt;&gt;""))),"","WRONG"),"")</f>
        <v>WRONG</v>
      </c>
      <c r="I107" s="8"/>
      <c r="J107" s="9" t="str">
        <f>IF($C$4&lt;&gt;"","x","")</f>
        <v>x</v>
      </c>
      <c r="K107" s="6" t="str">
        <f>IF(NOT($C$4=""),"double hit with possible intentional miscue (and unsportsmanlike conduct)","")</f>
        <v>double hit with possible intentional miscue (and unsportsmanlike conduct)</v>
      </c>
    </row>
    <row r="108" spans="2:11" ht="13.5" thickBot="1">
      <c r="B108" s="15">
        <f t="shared" si="5"/>
        <v>100</v>
      </c>
      <c r="C108" s="21"/>
      <c r="D108" s="21"/>
      <c r="E108" s="16" t="s">
        <v>22</v>
      </c>
      <c r="F108" s="4"/>
      <c r="G108" s="12"/>
      <c r="H108" s="6" t="str">
        <f>IF($C$4&lt;&gt;"",IF(OR(AND(AND(C108&lt;&gt;"",I108&lt;&gt;""),AND(D108="",J108="")),AND(AND(C108="",I108=""),AND(D108&lt;&gt;"",J108&lt;&gt;""))),"","WRONG"),"")</f>
        <v>WRONG</v>
      </c>
      <c r="I108" s="8"/>
      <c r="J108" s="9" t="str">
        <f>IF($C$4&lt;&gt;"","x","")</f>
        <v>x</v>
      </c>
      <c r="K108" s="6" t="str">
        <f>IF(NOT($C$4=""),"double hit (clear from CB going forward of tangent line)","")</f>
        <v>double hit (clear from CB going forward of tangent line)</v>
      </c>
    </row>
  </sheetData>
  <sheetProtection/>
  <mergeCells count="3">
    <mergeCell ref="C7:D7"/>
    <mergeCell ref="I7:J7"/>
    <mergeCell ref="I6:J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Referee Score Sheet</dc:title>
  <dc:subject>Billiards</dc:subject>
  <dc:creator>Craig Watson</dc:creator>
  <cp:keywords>Billiards, pool, referee</cp:keywords>
  <dc:description/>
  <cp:lastModifiedBy>.</cp:lastModifiedBy>
  <dcterms:created xsi:type="dcterms:W3CDTF">2008-10-07T19:38:09Z</dcterms:created>
  <dcterms:modified xsi:type="dcterms:W3CDTF">2017-03-12T15:05:06Z</dcterms:modified>
  <cp:category/>
  <cp:version/>
  <cp:contentType/>
  <cp:contentStatus/>
</cp:coreProperties>
</file>